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caandt-my.sharepoint.com/personal/mcwilli2_ncat_edu/Documents/Documents/Documents/College &amp; Divisions/Business and Finance/Campus Enterprises/Dining Services Management/"/>
    </mc:Choice>
  </mc:AlternateContent>
  <xr:revisionPtr revIDLastSave="0" documentId="8_{5B466470-D02E-42FB-BA4F-985AA2654118}" xr6:coauthVersionLast="47" xr6:coauthVersionMax="47" xr10:uidLastSave="{00000000-0000-0000-0000-000000000000}"/>
  <bookViews>
    <workbookView xWindow="-120" yWindow="-120" windowWidth="38640" windowHeight="15720" tabRatio="918" firstSheet="4" activeTab="4" xr2:uid="{00000000-000D-0000-FFFF-FFFF00000000}"/>
  </bookViews>
  <sheets>
    <sheet name="Demographics" sheetId="51" r:id="rId1"/>
    <sheet name="Exclusions" sheetId="26" r:id="rId2"/>
    <sheet name="Meal Plans" sheetId="58" r:id="rId3"/>
    <sheet name="Beverage Contract" sheetId="49" r:id="rId4"/>
    <sheet name="Dining Location Revenue" sheetId="56" r:id="rId5"/>
    <sheet name="Operating Info" sheetId="47" r:id="rId6"/>
    <sheet name="Staffing" sheetId="52" r:id="rId7"/>
    <sheet name="Catering" sheetId="59" r:id="rId8"/>
    <sheet name="Summer Camps" sheetId="48" r:id="rId9"/>
    <sheet name="Sanitation" sheetId="46" r:id="rId10"/>
    <sheet name="Athletics" sheetId="60" r:id="rId11"/>
    <sheet name="Sustainability" sheetId="24" r:id="rId12"/>
    <sheet name="Technology Responsibilities" sheetId="50" r:id="rId13"/>
    <sheet name="Financial Responsibilities" sheetId="57" r:id="rId14"/>
    <sheet name="Historical Costs" sheetId="55" r:id="rId15"/>
    <sheet name="Support" sheetId="53" r:id="rId16"/>
  </sheets>
  <definedNames>
    <definedName name="_Hlk35608814" localSheetId="13">'Financial Responsibilities'!$B$21</definedName>
    <definedName name="_Hlk35608836" localSheetId="13">'Financial Responsibilities'!$B$55</definedName>
    <definedName name="_Hlk48914810" localSheetId="13">'Financial Responsibilities'!#REF!</definedName>
    <definedName name="_Hlk49439995" localSheetId="13">'Financial Responsibilities'!#REF!</definedName>
    <definedName name="_Hlk49441747" localSheetId="13">'Financial Responsibilities'!#REF!</definedName>
    <definedName name="_Hlk49441791" localSheetId="13">'Financial Responsibilities'!#REF!</definedName>
    <definedName name="_xlnm.Print_Area" localSheetId="2">'Meal Plans'!$A$1:$T$23</definedName>
    <definedName name="_xlnm.Print_Area" localSheetId="8">'Summer Camps'!$A$1:$E$19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56" l="1"/>
  <c r="I7" i="56"/>
  <c r="G7" i="56"/>
  <c r="A2" i="59" l="1"/>
  <c r="A1" i="59"/>
  <c r="A2" i="60"/>
  <c r="A1" i="60"/>
  <c r="C31" i="59"/>
  <c r="O58" i="58"/>
  <c r="L58" i="58"/>
  <c r="F58" i="58"/>
  <c r="O57" i="58"/>
  <c r="L57" i="58"/>
  <c r="F57" i="58"/>
  <c r="F56" i="58"/>
  <c r="O55" i="58"/>
  <c r="L55" i="58"/>
  <c r="H55" i="58"/>
  <c r="I55" i="58" s="1"/>
  <c r="F55" i="58"/>
  <c r="E55" i="58"/>
  <c r="O54" i="58"/>
  <c r="L54" i="58"/>
  <c r="H54" i="58"/>
  <c r="I54" i="58" s="1"/>
  <c r="E54" i="58"/>
  <c r="F54" i="58" s="1"/>
  <c r="I53" i="58"/>
  <c r="H53" i="58"/>
  <c r="F53" i="58"/>
  <c r="E53" i="58"/>
  <c r="I52" i="58"/>
  <c r="H52" i="58"/>
  <c r="E52" i="58"/>
  <c r="F52" i="58" s="1"/>
  <c r="O51" i="58"/>
  <c r="L51" i="58"/>
  <c r="H51" i="58"/>
  <c r="G51" i="58"/>
  <c r="I51" i="58" s="1"/>
  <c r="E51" i="58"/>
  <c r="F51" i="58" s="1"/>
  <c r="D51" i="58"/>
  <c r="I50" i="58"/>
  <c r="H50" i="58"/>
  <c r="G50" i="58"/>
  <c r="E50" i="58"/>
  <c r="D50" i="58"/>
  <c r="F50" i="58" s="1"/>
  <c r="H49" i="58"/>
  <c r="G49" i="58"/>
  <c r="I49" i="58" s="1"/>
  <c r="F49" i="58"/>
  <c r="E49" i="58"/>
  <c r="D49" i="58"/>
  <c r="O48" i="58"/>
  <c r="L48" i="58"/>
  <c r="H48" i="58"/>
  <c r="G48" i="58"/>
  <c r="I48" i="58" s="1"/>
  <c r="E48" i="58"/>
  <c r="D48" i="58"/>
  <c r="F48" i="58" s="1"/>
  <c r="O47" i="58"/>
  <c r="M47" i="58"/>
  <c r="L47" i="58"/>
  <c r="J47" i="58"/>
  <c r="I47" i="58"/>
  <c r="H47" i="58"/>
  <c r="G47" i="58"/>
  <c r="E47" i="58"/>
  <c r="D47" i="58"/>
  <c r="F47" i="58" s="1"/>
  <c r="O46" i="58"/>
  <c r="O59" i="58" s="1"/>
  <c r="L46" i="58"/>
  <c r="L59" i="58" s="1"/>
  <c r="I46" i="58"/>
  <c r="H46" i="58"/>
  <c r="G46" i="58"/>
  <c r="E46" i="58"/>
  <c r="F46" i="58" s="1"/>
  <c r="F59" i="58" s="1"/>
  <c r="O39" i="58"/>
  <c r="L39" i="58"/>
  <c r="F39" i="58"/>
  <c r="O38" i="58"/>
  <c r="L38" i="58"/>
  <c r="O37" i="58"/>
  <c r="L37" i="58"/>
  <c r="O36" i="58"/>
  <c r="L36" i="58"/>
  <c r="I36" i="58"/>
  <c r="E36" i="58"/>
  <c r="F36" i="58" s="1"/>
  <c r="O35" i="58"/>
  <c r="L35" i="58"/>
  <c r="H35" i="58"/>
  <c r="I35" i="58" s="1"/>
  <c r="F35" i="58"/>
  <c r="O34" i="58"/>
  <c r="L34" i="58"/>
  <c r="I34" i="58"/>
  <c r="H34" i="58"/>
  <c r="F34" i="58"/>
  <c r="O33" i="58"/>
  <c r="L33" i="58"/>
  <c r="H33" i="58"/>
  <c r="I33" i="58" s="1"/>
  <c r="F33" i="58"/>
  <c r="O32" i="58"/>
  <c r="L32" i="58"/>
  <c r="H32" i="58"/>
  <c r="G32" i="58"/>
  <c r="I32" i="58" s="1"/>
  <c r="E32" i="58"/>
  <c r="D32" i="58"/>
  <c r="F32" i="58" s="1"/>
  <c r="O31" i="58"/>
  <c r="L31" i="58"/>
  <c r="H31" i="58"/>
  <c r="G31" i="58"/>
  <c r="I31" i="58" s="1"/>
  <c r="E31" i="58"/>
  <c r="F31" i="58" s="1"/>
  <c r="D31" i="58"/>
  <c r="O30" i="58"/>
  <c r="L30" i="58"/>
  <c r="H30" i="58"/>
  <c r="G30" i="58"/>
  <c r="I30" i="58" s="1"/>
  <c r="E30" i="58"/>
  <c r="D30" i="58"/>
  <c r="F30" i="58" s="1"/>
  <c r="O29" i="58"/>
  <c r="L29" i="58"/>
  <c r="H29" i="58"/>
  <c r="G29" i="58"/>
  <c r="I29" i="58" s="1"/>
  <c r="E29" i="58"/>
  <c r="D29" i="58"/>
  <c r="F29" i="58" s="1"/>
  <c r="O28" i="58"/>
  <c r="J28" i="58"/>
  <c r="L28" i="58" s="1"/>
  <c r="H28" i="58"/>
  <c r="I28" i="58" s="1"/>
  <c r="G28" i="58"/>
  <c r="E28" i="58"/>
  <c r="D28" i="58"/>
  <c r="F28" i="58" s="1"/>
  <c r="O27" i="58"/>
  <c r="O40" i="58" s="1"/>
  <c r="L27" i="58"/>
  <c r="L40" i="58" s="1"/>
  <c r="H27" i="58"/>
  <c r="G27" i="58"/>
  <c r="I27" i="58" s="1"/>
  <c r="E27" i="58"/>
  <c r="D27" i="58"/>
  <c r="F27" i="58" s="1"/>
  <c r="F40" i="58" s="1"/>
  <c r="O21" i="58"/>
  <c r="L21" i="58"/>
  <c r="F21" i="58"/>
  <c r="O20" i="58"/>
  <c r="L20" i="58"/>
  <c r="F20" i="58"/>
  <c r="O19" i="58"/>
  <c r="L19" i="58"/>
  <c r="F19" i="58"/>
  <c r="O18" i="58"/>
  <c r="L18" i="58"/>
  <c r="I18" i="58"/>
  <c r="F18" i="58"/>
  <c r="O17" i="58"/>
  <c r="L17" i="58"/>
  <c r="I17" i="58"/>
  <c r="F17" i="58"/>
  <c r="O16" i="58"/>
  <c r="L16" i="58"/>
  <c r="I16" i="58"/>
  <c r="F16" i="58"/>
  <c r="O15" i="58"/>
  <c r="L15" i="58"/>
  <c r="I15" i="58"/>
  <c r="F15" i="58"/>
  <c r="O14" i="58"/>
  <c r="L14" i="58"/>
  <c r="H14" i="58"/>
  <c r="I14" i="58"/>
  <c r="E14" i="58"/>
  <c r="F14" i="58" s="1"/>
  <c r="O13" i="58"/>
  <c r="L13" i="58"/>
  <c r="H13" i="58"/>
  <c r="I13" i="58"/>
  <c r="F13" i="58"/>
  <c r="O12" i="58"/>
  <c r="L12" i="58"/>
  <c r="H12" i="58"/>
  <c r="I12" i="58"/>
  <c r="F12" i="58"/>
  <c r="O11" i="58"/>
  <c r="L11" i="58"/>
  <c r="H11" i="58"/>
  <c r="I11" i="58"/>
  <c r="E11" i="58"/>
  <c r="F11" i="58"/>
  <c r="O10" i="58"/>
  <c r="L10" i="58"/>
  <c r="I10" i="58"/>
  <c r="H10" i="58"/>
  <c r="E10" i="58"/>
  <c r="F10" i="58"/>
  <c r="O9" i="58"/>
  <c r="O22" i="58" s="1"/>
  <c r="L9" i="58"/>
  <c r="L22" i="58" s="1"/>
  <c r="H9" i="58"/>
  <c r="I9" i="58"/>
  <c r="E9" i="58"/>
  <c r="F9" i="58" s="1"/>
  <c r="F22" i="58" s="1"/>
  <c r="A2" i="58"/>
  <c r="A1" i="58"/>
  <c r="I40" i="58" l="1"/>
  <c r="I59" i="58"/>
  <c r="I22" i="58"/>
  <c r="A2" i="57" l="1"/>
  <c r="A1" i="57"/>
  <c r="J18" i="56"/>
  <c r="E18" i="56"/>
  <c r="J17" i="56"/>
  <c r="E17" i="56"/>
  <c r="J16" i="56"/>
  <c r="E16" i="56"/>
  <c r="J15" i="56"/>
  <c r="E15" i="56"/>
  <c r="J14" i="56"/>
  <c r="E14" i="56"/>
  <c r="J13" i="56"/>
  <c r="E13" i="56"/>
  <c r="J12" i="56"/>
  <c r="E12" i="56"/>
  <c r="H11" i="56"/>
  <c r="G11" i="56"/>
  <c r="J11" i="56" s="1"/>
  <c r="C11" i="56"/>
  <c r="B11" i="56"/>
  <c r="E11" i="56" s="1"/>
  <c r="J10" i="56"/>
  <c r="E10" i="56"/>
  <c r="J9" i="56"/>
  <c r="E9" i="56"/>
  <c r="J8" i="56"/>
  <c r="E8" i="56"/>
  <c r="A2" i="56"/>
  <c r="A1" i="56"/>
  <c r="E19" i="56" l="1"/>
  <c r="J19" i="56"/>
  <c r="A2" i="55"/>
  <c r="A1" i="55"/>
  <c r="A2" i="50"/>
  <c r="A1" i="50"/>
  <c r="A2" i="24"/>
  <c r="A1" i="24"/>
  <c r="A2" i="46"/>
  <c r="A1" i="46"/>
  <c r="A2" i="48"/>
  <c r="A1" i="48"/>
  <c r="A2" i="47"/>
  <c r="A1" i="47"/>
  <c r="A2" i="49"/>
  <c r="A1" i="49"/>
  <c r="A2" i="26"/>
  <c r="A1" i="26"/>
  <c r="D15" i="53"/>
  <c r="C15" i="53"/>
  <c r="A2" i="53"/>
  <c r="A1" i="53"/>
  <c r="A2" i="52"/>
  <c r="A1" i="52"/>
  <c r="M48" i="51"/>
  <c r="L48" i="51"/>
  <c r="K48" i="51"/>
  <c r="J48" i="51"/>
  <c r="I48" i="51"/>
  <c r="H48" i="51"/>
  <c r="L23" i="51"/>
  <c r="H11" i="51"/>
  <c r="G11" i="51"/>
  <c r="F11" i="51"/>
  <c r="D11" i="51"/>
  <c r="C11" i="51"/>
  <c r="E8" i="51"/>
  <c r="E7" i="51"/>
  <c r="E11" i="51" s="1"/>
</calcChain>
</file>

<file path=xl/sharedStrings.xml><?xml version="1.0" encoding="utf-8"?>
<sst xmlns="http://schemas.openxmlformats.org/spreadsheetml/2006/main" count="1037" uniqueCount="555">
  <si>
    <t>EXHIBIT C:  CURRENT SITE DATA</t>
  </si>
  <si>
    <t>North Carolina Agricultural &amp; Technical State University (N.C. A&amp;T)</t>
  </si>
  <si>
    <t>DEMOGRAPHICS</t>
  </si>
  <si>
    <t>Numbers are historical and not a guarantee of future population.</t>
  </si>
  <si>
    <t xml:space="preserve"> </t>
  </si>
  <si>
    <t>Population</t>
  </si>
  <si>
    <t>Fall 2022</t>
  </si>
  <si>
    <t>Spring 2023</t>
  </si>
  <si>
    <t>Summer 2023</t>
  </si>
  <si>
    <t>Fall 2023</t>
  </si>
  <si>
    <t>Spring 2024</t>
  </si>
  <si>
    <t>Summer 2024</t>
  </si>
  <si>
    <t>Undergraduates</t>
  </si>
  <si>
    <t>N/A</t>
  </si>
  <si>
    <t>Graduate/Professional</t>
  </si>
  <si>
    <t>Faculty</t>
  </si>
  <si>
    <t>Staff</t>
  </si>
  <si>
    <t>Total:</t>
  </si>
  <si>
    <t>Student Mix</t>
  </si>
  <si>
    <t>Undergraduate Men</t>
  </si>
  <si>
    <t>Undergraduate Women</t>
  </si>
  <si>
    <t>Graduate Men</t>
  </si>
  <si>
    <t>Graduate Women</t>
  </si>
  <si>
    <t>Click here for N.C. A&amp;T Strategic Plan</t>
  </si>
  <si>
    <t>Residence Hall</t>
  </si>
  <si>
    <t>Meal Plan Requirement</t>
  </si>
  <si>
    <t>Living Style</t>
  </si>
  <si>
    <t>Occupancy</t>
  </si>
  <si>
    <t>Traditional</t>
  </si>
  <si>
    <t>Suite</t>
  </si>
  <si>
    <t xml:space="preserve">Apartment </t>
  </si>
  <si>
    <t xml:space="preserve">Aggie Suites </t>
  </si>
  <si>
    <t>X</t>
  </si>
  <si>
    <t>Aggie Terrace</t>
  </si>
  <si>
    <t xml:space="preserve">No meal plan requirement </t>
  </si>
  <si>
    <t>Barbee Hall</t>
  </si>
  <si>
    <t>Blair Hall</t>
  </si>
  <si>
    <t>Cooper Hall</t>
  </si>
  <si>
    <t>Curtis Hall</t>
  </si>
  <si>
    <t>Haley Hall</t>
  </si>
  <si>
    <t>Holland Hall</t>
  </si>
  <si>
    <t>McCain Hall</t>
  </si>
  <si>
    <t>McNeil Hall</t>
  </si>
  <si>
    <t>Speight Hall</t>
  </si>
  <si>
    <t xml:space="preserve">Morrow Hall </t>
  </si>
  <si>
    <t>Richmond Hall</t>
  </si>
  <si>
    <t>Pride Hall</t>
  </si>
  <si>
    <t xml:space="preserve">Vanstory Hall </t>
  </si>
  <si>
    <t>Sebastian Village</t>
  </si>
  <si>
    <t xml:space="preserve">Sebastian Courtyard </t>
  </si>
  <si>
    <t>Sebastian Place</t>
  </si>
  <si>
    <t>Preeminent Pointe</t>
  </si>
  <si>
    <t>Collegiate Commons</t>
  </si>
  <si>
    <t>Campus Edge</t>
  </si>
  <si>
    <t xml:space="preserve">Aggie Point </t>
  </si>
  <si>
    <t>University Landing</t>
  </si>
  <si>
    <t>University Pointe</t>
  </si>
  <si>
    <t>Additional Apartments</t>
  </si>
  <si>
    <t>CONTRACT EXCLUSIONS</t>
  </si>
  <si>
    <t>Venues or Services Excluded From Dining Contract</t>
  </si>
  <si>
    <t>Location/ Building</t>
  </si>
  <si>
    <t>Supplier</t>
  </si>
  <si>
    <t>Concessions</t>
  </si>
  <si>
    <t>Truist Stadium/Corbett/Moore Gym</t>
  </si>
  <si>
    <t>Vending</t>
  </si>
  <si>
    <t xml:space="preserve">Canteen </t>
  </si>
  <si>
    <t>MEAL PLAN INFORMATION</t>
  </si>
  <si>
    <t>Academic Year 23-24</t>
  </si>
  <si>
    <t>Meal Plans</t>
  </si>
  <si>
    <t>Price / Semester</t>
  </si>
  <si>
    <t>Summer I 2024</t>
  </si>
  <si>
    <t>Summer II 2024</t>
  </si>
  <si>
    <t xml:space="preserve"> Notes</t>
  </si>
  <si>
    <t># of Mandatory Subscribers</t>
  </si>
  <si>
    <t># of Voluntary Subscribers</t>
  </si>
  <si>
    <t>Total # of Subscribers</t>
  </si>
  <si>
    <t>Unlimited + $150 Flex</t>
  </si>
  <si>
    <t>19 Meals/Week + $150 Flex</t>
  </si>
  <si>
    <t>14 Meals/Week + $150 Flex</t>
  </si>
  <si>
    <t>12 Meals/Week + $225 Flex</t>
  </si>
  <si>
    <t>10 Meals/Week + $275 Flex</t>
  </si>
  <si>
    <t>8 Meals/Week + $425 Flex</t>
  </si>
  <si>
    <t>50 Meals + $225 Flex</t>
  </si>
  <si>
    <t>25 Meals + $200 Flex</t>
  </si>
  <si>
    <t>$1,000 Flex</t>
  </si>
  <si>
    <t>$500 Flex</t>
  </si>
  <si>
    <t>Faculty 90</t>
  </si>
  <si>
    <t>Faculty 60</t>
  </si>
  <si>
    <t>Faculty 30</t>
  </si>
  <si>
    <t>Fall Total:</t>
  </si>
  <si>
    <t>Summer Total:</t>
  </si>
  <si>
    <t>Operating Days:</t>
  </si>
  <si>
    <t>Academic Year 22-23</t>
  </si>
  <si>
    <t>Summer I 2023</t>
  </si>
  <si>
    <t>Summer II 2023</t>
  </si>
  <si>
    <t>Academic Year 21-22</t>
  </si>
  <si>
    <t>Fall 2021</t>
  </si>
  <si>
    <t>Spring 2022</t>
  </si>
  <si>
    <t>Summer I 2022</t>
  </si>
  <si>
    <t>Summer II 2022</t>
  </si>
  <si>
    <t>POURING RIGHTS / BEVERAGE CONTRACT</t>
  </si>
  <si>
    <t xml:space="preserve">Exclusive Beverage Contract: </t>
  </si>
  <si>
    <t>Currently in Place</t>
  </si>
  <si>
    <t>Yes</t>
  </si>
  <si>
    <t>Name of Beverage Company</t>
  </si>
  <si>
    <t>Coca-Cola Co.</t>
  </si>
  <si>
    <t>Current Contract Expires</t>
  </si>
  <si>
    <t>Department Administering Contract</t>
  </si>
  <si>
    <t>Campus Enterprises</t>
  </si>
  <si>
    <t>Is Supplier required to purchase through University contract?</t>
  </si>
  <si>
    <t>No</t>
  </si>
  <si>
    <t>If yes, current pricing</t>
  </si>
  <si>
    <t>Contract Details Relating to Dining Services</t>
  </si>
  <si>
    <t xml:space="preserve">N.C. A&amp;T is currently working on the beverage contract. </t>
  </si>
  <si>
    <t>REVENUE (Excluding meal plan revenue to University)</t>
  </si>
  <si>
    <t>FY2023-2024</t>
  </si>
  <si>
    <t>FY2022-2023</t>
  </si>
  <si>
    <t>Revenue Center</t>
  </si>
  <si>
    <t>Flex Dollars</t>
  </si>
  <si>
    <t>Dining Dollars</t>
  </si>
  <si>
    <t>Cash &amp; Credit Cards</t>
  </si>
  <si>
    <t>Total</t>
  </si>
  <si>
    <t>Annual Operating Days</t>
  </si>
  <si>
    <t xml:space="preserve">Williams Dining Hall </t>
  </si>
  <si>
    <t>The Marketplace</t>
  </si>
  <si>
    <t>Aggie Wings &amp; Café</t>
  </si>
  <si>
    <t>Chick-fil-A</t>
  </si>
  <si>
    <t>Sub Connection</t>
  </si>
  <si>
    <t>1891 Bistro</t>
  </si>
  <si>
    <t>Einstein Bros. Bagel</t>
  </si>
  <si>
    <t>Paavo's Pizza</t>
  </si>
  <si>
    <t>Starbucks</t>
  </si>
  <si>
    <t>Martin's Café</t>
  </si>
  <si>
    <t>Qdoba Mexican Eats</t>
  </si>
  <si>
    <t>Residential Dining Door Rates</t>
  </si>
  <si>
    <t>FY23-24</t>
  </si>
  <si>
    <t>Breakfast</t>
  </si>
  <si>
    <t>Lunch</t>
  </si>
  <si>
    <t>Brunch</t>
  </si>
  <si>
    <t>Dinner</t>
  </si>
  <si>
    <t>Late Night</t>
  </si>
  <si>
    <t>OPERATING INFORMATION</t>
  </si>
  <si>
    <t>Academic Year Operating Hours</t>
  </si>
  <si>
    <t>M-Th</t>
  </si>
  <si>
    <t>F</t>
  </si>
  <si>
    <t>Sa</t>
  </si>
  <si>
    <t>Su</t>
  </si>
  <si>
    <t>Seats</t>
  </si>
  <si>
    <t>Service Ware Standard</t>
  </si>
  <si>
    <t># of Point of Sale Terminals</t>
  </si>
  <si>
    <t>Residential Dining 1</t>
  </si>
  <si>
    <t>Residential Dining 2</t>
  </si>
  <si>
    <t>B: 6:30AM - 9:45AM
L: 11AM - 2PM
D: 4PM - 7:30PM
Training Table: 8PM - 10PM</t>
  </si>
  <si>
    <t xml:space="preserve">B: 6:30AM - 9:45AM
L: 11AM - 2PM
D: 4PM - 8PM
</t>
  </si>
  <si>
    <t xml:space="preserve">BR: 9AM - 2PM
D: 4PM - 8PM
</t>
  </si>
  <si>
    <t>Dine-In/Resuable ToGo</t>
  </si>
  <si>
    <t>L: 11AM - 2PM
D: 4:30PM - 10PM</t>
  </si>
  <si>
    <t>L: 11AM - 2PM</t>
  </si>
  <si>
    <t>Closed</t>
  </si>
  <si>
    <t>220 Indoor
20 Outdoor</t>
  </si>
  <si>
    <t>11AM - 10PM</t>
  </si>
  <si>
    <t>4PM - 10 PM</t>
  </si>
  <si>
    <t>20 Indoor
30 Outdoor</t>
  </si>
  <si>
    <t>To Go</t>
  </si>
  <si>
    <t>8AM - 10PM</t>
  </si>
  <si>
    <t>4PM - 10PM</t>
  </si>
  <si>
    <t>11AM - 9PM</t>
  </si>
  <si>
    <t>11AM - 8PM</t>
  </si>
  <si>
    <t>50 Indoor
30 Outdoor</t>
  </si>
  <si>
    <t>Tray w/ Liner orToGo</t>
  </si>
  <si>
    <t>8AM - 2PM</t>
  </si>
  <si>
    <t>12PM - 10PM</t>
  </si>
  <si>
    <t>8AM - 6PM</t>
  </si>
  <si>
    <t>8AM - 3PM</t>
  </si>
  <si>
    <t>Wild Blue</t>
  </si>
  <si>
    <t>11am-10p</t>
  </si>
  <si>
    <t>2pm-10p</t>
  </si>
  <si>
    <t>3 kiosks</t>
  </si>
  <si>
    <t>Concession Services</t>
  </si>
  <si>
    <t>Executive Education</t>
  </si>
  <si>
    <t>Summer Operating Hours</t>
  </si>
  <si>
    <t>Retail 1</t>
  </si>
  <si>
    <t>Retail 2</t>
  </si>
  <si>
    <t>Retail 3</t>
  </si>
  <si>
    <t>Retail 4</t>
  </si>
  <si>
    <t>Retail 5</t>
  </si>
  <si>
    <t>Retail 6</t>
  </si>
  <si>
    <t>Retail 7</t>
  </si>
  <si>
    <t>Retail 8</t>
  </si>
  <si>
    <t>Retail 9</t>
  </si>
  <si>
    <t>Retail 10</t>
  </si>
  <si>
    <t>Catering Services</t>
  </si>
  <si>
    <t>CURRENT DINING SERVICES STAFFING</t>
  </si>
  <si>
    <t>FY 2023-24</t>
  </si>
  <si>
    <t>Staffing information:</t>
  </si>
  <si>
    <t>Total Number (head count)</t>
  </si>
  <si>
    <t>Full-time Equivalent (FTE) based on 40-hr week</t>
  </si>
  <si>
    <t>Number of 12-month employees</t>
  </si>
  <si>
    <t>Number of 9-month employees</t>
  </si>
  <si>
    <t>Paid Benefits? Y/N</t>
  </si>
  <si>
    <t>Paid Time Off (PTO)? Y/N</t>
  </si>
  <si>
    <t>Unionized? Y/N</t>
  </si>
  <si>
    <t>Full-time salaried exempt management/admin:</t>
  </si>
  <si>
    <t>Y</t>
  </si>
  <si>
    <t>N</t>
  </si>
  <si>
    <t>Permanent Full-time hourly employees:</t>
  </si>
  <si>
    <t>Permenant Part-time hourly employees:</t>
  </si>
  <si>
    <t>Student employees:</t>
  </si>
  <si>
    <t>Additional details:</t>
  </si>
  <si>
    <t>What are the minimum number of hours required to be considered full-time?</t>
  </si>
  <si>
    <t>Do you utilize temporary employees? If yes, explain.</t>
  </si>
  <si>
    <t>Yes, when additional support is needed</t>
  </si>
  <si>
    <t>Houly staff Information below should match totals provided above. Add rows as needed.</t>
  </si>
  <si>
    <t>Years of Service (head count)</t>
  </si>
  <si>
    <t>Job Classification (Hourly Employees)</t>
  </si>
  <si>
    <t>Average weeks worked per year</t>
  </si>
  <si>
    <t>Average hours per week</t>
  </si>
  <si>
    <t>Hourly Raw Wages - range low ($)</t>
  </si>
  <si>
    <t>Hourly Raw Wages - range high ($)</t>
  </si>
  <si>
    <t>0-5 Years</t>
  </si>
  <si>
    <t>6-10 Years</t>
  </si>
  <si>
    <t>11+ Years</t>
  </si>
  <si>
    <t>Full-time Hourly Employees by job classification</t>
  </si>
  <si>
    <t xml:space="preserve">Cook 1 </t>
  </si>
  <si>
    <t>Cook 2</t>
  </si>
  <si>
    <t>Lead Worker</t>
  </si>
  <si>
    <t>Catering Service Worker</t>
  </si>
  <si>
    <t>Utility Worker</t>
  </si>
  <si>
    <t>Utility Worker - Senior</t>
  </si>
  <si>
    <t>Baker</t>
  </si>
  <si>
    <t>Barista 1</t>
  </si>
  <si>
    <t>Cashier</t>
  </si>
  <si>
    <t>Cashier - Senior</t>
  </si>
  <si>
    <t>Cashier - Food Service Worker</t>
  </si>
  <si>
    <t>Food Prep Helper</t>
  </si>
  <si>
    <t>Food Service Worker</t>
  </si>
  <si>
    <t>Dining Room Attendant</t>
  </si>
  <si>
    <t>Supervisor - Food</t>
  </si>
  <si>
    <t>Supervisor - Food - Senior</t>
  </si>
  <si>
    <t>Cook - Grill</t>
  </si>
  <si>
    <t>Cook - Senior</t>
  </si>
  <si>
    <t>Part-time Hourly Employees by job classification</t>
  </si>
  <si>
    <t>Student Employees by job classification</t>
  </si>
  <si>
    <t>Student Worker</t>
  </si>
  <si>
    <t>Sodexo Intern</t>
  </si>
  <si>
    <t>CATERING</t>
  </si>
  <si>
    <t xml:space="preserve">FY24 Catering </t>
  </si>
  <si>
    <t>Month</t>
  </si>
  <si>
    <t>Sales</t>
  </si>
  <si>
    <t>Catering Additional Information</t>
  </si>
  <si>
    <t>Description</t>
  </si>
  <si>
    <t>July</t>
  </si>
  <si>
    <t>Exclusive Catering Rights</t>
  </si>
  <si>
    <t>August</t>
  </si>
  <si>
    <t>Liquor License Type; Location; Owner</t>
  </si>
  <si>
    <t>Special Occasion Permit</t>
  </si>
  <si>
    <t>Vendor (Right now, it is the University)</t>
  </si>
  <si>
    <t>September</t>
  </si>
  <si>
    <t>Alcohol Service</t>
  </si>
  <si>
    <t>Catering Events</t>
  </si>
  <si>
    <t>Athletic Events</t>
  </si>
  <si>
    <t>October</t>
  </si>
  <si>
    <t>Room Set Up/Tear Down Responsibility</t>
  </si>
  <si>
    <t>University</t>
  </si>
  <si>
    <t>November</t>
  </si>
  <si>
    <t>AV Responsibility</t>
  </si>
  <si>
    <t>December</t>
  </si>
  <si>
    <t>January</t>
  </si>
  <si>
    <t>February</t>
  </si>
  <si>
    <t>March</t>
  </si>
  <si>
    <t>April</t>
  </si>
  <si>
    <t>May</t>
  </si>
  <si>
    <t>June</t>
  </si>
  <si>
    <t xml:space="preserve">Total Revenue </t>
  </si>
  <si>
    <t>* Summer Camp Revenue is included in the Catering Revenue*</t>
  </si>
  <si>
    <t>SUMMER CAMPS / CONFERENCE</t>
  </si>
  <si>
    <t>Summer Camps / Conference</t>
  </si>
  <si>
    <t>Group/Event Name</t>
  </si>
  <si>
    <t># of Attendees</t>
  </si>
  <si>
    <t>REU Data Science</t>
  </si>
  <si>
    <t>REU Bio</t>
  </si>
  <si>
    <t>TRIO R. McNair</t>
  </si>
  <si>
    <t>Freedom School</t>
  </si>
  <si>
    <t>TRIO SSS</t>
  </si>
  <si>
    <t>Esteemed</t>
  </si>
  <si>
    <t>Verizon Innovative Learning</t>
  </si>
  <si>
    <t>Aggie Writing Scholars</t>
  </si>
  <si>
    <t>Pre-College Business Camp</t>
  </si>
  <si>
    <t>Camp Bizlife</t>
  </si>
  <si>
    <t>DARTS</t>
  </si>
  <si>
    <t>STEAM</t>
  </si>
  <si>
    <t>STEM Bio</t>
  </si>
  <si>
    <t>Wildcats Coding Camp</t>
  </si>
  <si>
    <t>Upward Bound</t>
  </si>
  <si>
    <t>Brown Girls Gymnastics</t>
  </si>
  <si>
    <t>Band Camp</t>
  </si>
  <si>
    <t>Cheerleading Camp</t>
  </si>
  <si>
    <t>Football Camp</t>
  </si>
  <si>
    <t>Aggie Student Leaders</t>
  </si>
  <si>
    <t>Cross Country</t>
  </si>
  <si>
    <t>Volleyball</t>
  </si>
  <si>
    <t>YEA REAP</t>
  </si>
  <si>
    <t>Corning Pre College</t>
  </si>
  <si>
    <t>Aggie Success Academy</t>
  </si>
  <si>
    <t>Womens Basketball</t>
  </si>
  <si>
    <t>Mens Basketball</t>
  </si>
  <si>
    <t>High School Transportation Institute</t>
  </si>
  <si>
    <t>PACE</t>
  </si>
  <si>
    <t>CEE&amp;I Summer Residential Camp</t>
  </si>
  <si>
    <t>UEC Training</t>
  </si>
  <si>
    <t>ICEE</t>
  </si>
  <si>
    <t>SANITATION RESPONSIBILITIES</t>
  </si>
  <si>
    <t>S = Supplier</t>
  </si>
  <si>
    <t xml:space="preserve">U = N.C. A&amp;T University </t>
  </si>
  <si>
    <t>Area </t>
  </si>
  <si>
    <t>Task </t>
  </si>
  <si>
    <t>Responsibility</t>
  </si>
  <si>
    <t>Exceptions </t>
  </si>
  <si>
    <t>Back of House</t>
  </si>
  <si>
    <t>Serving &amp; Dining Areas</t>
  </si>
  <si>
    <t>Dining Area Tables &amp; Chairs </t>
  </si>
  <si>
    <t>Straighten as needed throughout service periods</t>
  </si>
  <si>
    <t>S</t>
  </si>
  <si>
    <t>Spot clean as needed to keep clean from spills, grease, debris and miscellaneous waste</t>
  </si>
  <si>
    <t>Clean and sanitize at the end of the service day </t>
  </si>
  <si>
    <t>Periodic deep clean upholstery </t>
  </si>
  <si>
    <t>NA</t>
  </si>
  <si>
    <t>U</t>
  </si>
  <si>
    <t>Work Tables, Serving Counters &amp; Fixtures</t>
  </si>
  <si>
    <t>Keep clean from spills, grease, debris and miscellaneous waste</t>
  </si>
  <si>
    <t xml:space="preserve">Clean &amp; sanitize daily </t>
  </si>
  <si>
    <t>Fixed and Mobile Food Service, Storage &amp; Sanitation Equipment</t>
  </si>
  <si>
    <t>Exhaust Hood Canopies &amp; Filters </t>
  </si>
  <si>
    <t>Clean &amp; sanitize as proscribed by manufacturer and/or local fire authority </t>
  </si>
  <si>
    <t>Exhaust Hood Ducts</t>
  </si>
  <si>
    <t>Clean bi-monthly or more frequently if required by local fire authority or to ensure fire safety </t>
  </si>
  <si>
    <t>Grease Traps and Grease Removal </t>
  </si>
  <si>
    <t>Keep grease traps clean and surrounding floors free of grease </t>
  </si>
  <si>
    <t>Arrange for regular grease removal from interceptors </t>
  </si>
  <si>
    <t>Floors</t>
  </si>
  <si>
    <t xml:space="preserve">Replacement costs for floor drain covers/domes will be charged to supplier if found missing </t>
  </si>
  <si>
    <t xml:space="preserve">Clean &amp; sanitize hard surface floors daily </t>
  </si>
  <si>
    <t>Including 1st floor hallway of Williams</t>
  </si>
  <si>
    <t>Vacuum carpeted areas daily</t>
  </si>
  <si>
    <t>Periodic deep clean hard surface floors</t>
  </si>
  <si>
    <t>Daily mainentance must prevent damage to waxed floor or supplier will be accountable for additional costs</t>
  </si>
  <si>
    <t>Periodic deep clean carpets</t>
  </si>
  <si>
    <t>Interior Walls </t>
  </si>
  <si>
    <t>Clean and sanitize daily to a height of  8 feet</t>
  </si>
  <si>
    <t>Deep clean bi-monthly to ceiling height  </t>
  </si>
  <si>
    <t>Unless ceiling height exceeds 8ft</t>
  </si>
  <si>
    <t>Windows and Glass Doors </t>
  </si>
  <si>
    <t>Clean as required to remove smudges, streaking and grime on the interior, 6ft and below</t>
  </si>
  <si>
    <t>Excludes Williams lobby</t>
  </si>
  <si>
    <t>Deep cleaning of windows areas above 6ft and exterior</t>
  </si>
  <si>
    <t>Ceilings, Light Fixtures, &amp; Fan Blades  </t>
  </si>
  <si>
    <t>Keep clean from spills, grease, debris and miscellaneous waste </t>
  </si>
  <si>
    <t>Supplier is responsible for wiping of food debris on ceiling or tiles 8ft or below in BOH or food prep</t>
  </si>
  <si>
    <t>Employee Restrooms &amp; Changing Facilities </t>
  </si>
  <si>
    <t>Clean, sanitize and restock daily </t>
  </si>
  <si>
    <t>Janitor’s Closet &amp; Equipment </t>
  </si>
  <si>
    <t>Clean and sanitize daily </t>
  </si>
  <si>
    <t>Gathering &amp; Containerizing of Waste - Garbage, Compost &amp; Recyclables  </t>
  </si>
  <si>
    <t>Transport containerized waste from receptacles to designated dock area containers</t>
  </si>
  <si>
    <t>Clean receptacles as needed to keep them sanitary and free from debris </t>
  </si>
  <si>
    <t>Arrange for garbage and recycling pick up from loading docks </t>
  </si>
  <si>
    <t>Insect and Pest Control </t>
  </si>
  <si>
    <t>Interior Premises: Perform periodic control measures, as required </t>
  </si>
  <si>
    <t>Supplier must share frequency and pest provider findings monthly or sooner if warranted due to infestations</t>
  </si>
  <si>
    <t>Exterior Premises: Perform periodic control measures, as required </t>
  </si>
  <si>
    <t>Loading Dock, Receiving &amp; Exterior Trash Areas </t>
  </si>
  <si>
    <t>Keep clean from spills, grease, debris and miscellaneous waste arising from Supplier’s operations </t>
  </si>
  <si>
    <t>Pallets, bread racks and milk crates must be removed on a minimum of a weekly basis</t>
  </si>
  <si>
    <t>Building Exterior</t>
  </si>
  <si>
    <t>Maintain building envelope in good repair </t>
  </si>
  <si>
    <t>Maintain exterior lighting in good repair and working order</t>
  </si>
  <si>
    <t>Maintain exterior signage in good repair and working order</t>
  </si>
  <si>
    <t>Maintain landscaping in good condition </t>
  </si>
  <si>
    <t>ATHLETICS</t>
  </si>
  <si>
    <t>Athletic Suite Catering</t>
  </si>
  <si>
    <t xml:space="preserve">Athletic Venue 
with Suite Catering </t>
  </si>
  <si>
    <t xml:space="preserve">Number of Suites </t>
  </si>
  <si>
    <t xml:space="preserve">FY 24
Total Revenue for Catered Suites </t>
  </si>
  <si>
    <t xml:space="preserve">FY 23
Total Revenue for Catered Suites </t>
  </si>
  <si>
    <t xml:space="preserve">Football </t>
  </si>
  <si>
    <t xml:space="preserve">Catered Meals Before A Game </t>
  </si>
  <si>
    <t>FY24</t>
  </si>
  <si>
    <t>FY23</t>
  </si>
  <si>
    <t>Sport</t>
  </si>
  <si>
    <t># Pre-Game 
Meals</t>
  </si>
  <si>
    <t># of Athletes, Coaches, Trainers Eating (ave. each meal)</t>
  </si>
  <si>
    <t>Cost/  
Pre-Game Meal</t>
  </si>
  <si>
    <t>Football</t>
  </si>
  <si>
    <t>Training Table</t>
  </si>
  <si>
    <t xml:space="preserve">Training Table </t>
  </si>
  <si>
    <t># in attendance (Spring 2023)</t>
  </si>
  <si>
    <t># in attendance (Fall 2023)</t>
  </si>
  <si>
    <t># in attendance (Spring 2024)</t>
  </si>
  <si>
    <t># in attendance (Fall 2024)</t>
  </si>
  <si>
    <t>Band</t>
  </si>
  <si>
    <r>
      <rPr>
        <b/>
        <sz val="10"/>
        <color theme="1"/>
        <rFont val="Franklin Gothic Book"/>
        <family val="2"/>
      </rPr>
      <t>Training Table Notes:</t>
    </r>
    <r>
      <rPr>
        <sz val="10"/>
        <color theme="1"/>
        <rFont val="Franklin Gothic Book"/>
        <family val="2"/>
      </rPr>
      <t xml:space="preserve">
The training table now includes band members and takes place in Williams Dining Hall, which will be exclusively reserved for two hours (8 PM - 10 PM on Mondays and Thursdays). A special menu is provided, differing from the regular dinner offerings. Dinner menus are customized with the Athletic Training Staff. </t>
    </r>
  </si>
  <si>
    <t>SUSTAINABILIITY</t>
  </si>
  <si>
    <t>Sustainability Policies, Programs and Practices Current in Place in the Dining Program</t>
  </si>
  <si>
    <t>Procurement</t>
  </si>
  <si>
    <t xml:space="preserve">Trayless Dining for Residential Dining </t>
  </si>
  <si>
    <t>Strawless in Residential Dining</t>
  </si>
  <si>
    <t>Sustainable to-go program for Residential Dining</t>
  </si>
  <si>
    <t xml:space="preserve">S = Supplier </t>
  </si>
  <si>
    <t>TECHNOLOGY</t>
  </si>
  <si>
    <t>Technology Type</t>
  </si>
  <si>
    <t>Provider</t>
  </si>
  <si>
    <t>N.C. A&amp;T University Provided Technology</t>
  </si>
  <si>
    <t>Notes</t>
  </si>
  <si>
    <t>Brand Name</t>
  </si>
  <si>
    <t>Supplier Required to Use? (Y/N)</t>
  </si>
  <si>
    <t>Back of house management information systems</t>
  </si>
  <si>
    <t>Digital menu screens</t>
  </si>
  <si>
    <t>Combination of franchise and supplier menu boards</t>
  </si>
  <si>
    <t>Digital menu software</t>
  </si>
  <si>
    <t xml:space="preserve">Meal plan management system </t>
  </si>
  <si>
    <t>CBORD/Gold</t>
  </si>
  <si>
    <t>Order/payment/informational apps</t>
  </si>
  <si>
    <t>S,U</t>
  </si>
  <si>
    <t>Point of sale hardware &amp; software</t>
  </si>
  <si>
    <t>CBORD</t>
  </si>
  <si>
    <t>Security systems</t>
  </si>
  <si>
    <t>Self-order/pay hardware &amp; software</t>
  </si>
  <si>
    <t>S, U</t>
  </si>
  <si>
    <t>CBORD kioks, GET and Starship</t>
  </si>
  <si>
    <t>Still working through credit card payment on kiosks</t>
  </si>
  <si>
    <t>Streaming services</t>
  </si>
  <si>
    <t>Supplier office computers, software and equipment</t>
  </si>
  <si>
    <t>FINANCIAL RESPONSIBILITIES</t>
  </si>
  <si>
    <t>Services Key</t>
  </si>
  <si>
    <t>Payment Types</t>
  </si>
  <si>
    <t>A = Residential Dining</t>
  </si>
  <si>
    <t>S = Supplier direct paid</t>
  </si>
  <si>
    <t>B = Retail Dining</t>
  </si>
  <si>
    <t>U = N.C. A&amp;T University direct paid</t>
  </si>
  <si>
    <t>C = Faculty/Staff Dining</t>
  </si>
  <si>
    <t>UP-SR = University purchased/Supplier reimburses University</t>
  </si>
  <si>
    <t>D = Summer Conference Services</t>
  </si>
  <si>
    <t>SP-UR = Supplier purchased/University reimburses Supplier</t>
  </si>
  <si>
    <t>F = Catering Services</t>
  </si>
  <si>
    <t>G = Alcohol Service</t>
  </si>
  <si>
    <t>H = Concession Services</t>
  </si>
  <si>
    <t>I = All of the Above/Program-wide</t>
  </si>
  <si>
    <t>Example:</t>
  </si>
  <si>
    <t>Expense Category</t>
  </si>
  <si>
    <t>Purchase &amp; Payment Responsibility</t>
  </si>
  <si>
    <t>Exceptions</t>
  </si>
  <si>
    <t>SP-UR</t>
  </si>
  <si>
    <t>UP-SR</t>
  </si>
  <si>
    <t>Electricity</t>
  </si>
  <si>
    <t>A, B</t>
  </si>
  <si>
    <t>C, H</t>
  </si>
  <si>
    <t>UP-SR for Student Union Retail Dining</t>
  </si>
  <si>
    <t>Payment Responsibility</t>
  </si>
  <si>
    <t>Food and Beverage Products</t>
  </si>
  <si>
    <t>Technology leases, licenses and fees</t>
  </si>
  <si>
    <t>Food and non-alcoholic beverages</t>
  </si>
  <si>
    <t>I</t>
  </si>
  <si>
    <t xml:space="preserve">Alcohol  </t>
  </si>
  <si>
    <t>Labor</t>
  </si>
  <si>
    <t>Employee salaries &amp; wages (Onsite employees)</t>
  </si>
  <si>
    <t>Employee benefits</t>
  </si>
  <si>
    <t>Credit card machines are paid for by supplier</t>
  </si>
  <si>
    <t>Employer taxes</t>
  </si>
  <si>
    <t>Temporary agency labor</t>
  </si>
  <si>
    <t>Operating Expenses</t>
  </si>
  <si>
    <t>Banking fees</t>
  </si>
  <si>
    <t>Cleaning supplies</t>
  </si>
  <si>
    <t>Common area maintenance</t>
  </si>
  <si>
    <t>Sanitation</t>
  </si>
  <si>
    <t>Courier and armored car service</t>
  </si>
  <si>
    <t>Décor</t>
  </si>
  <si>
    <t>Exhaust hood ductwork cleaning</t>
  </si>
  <si>
    <t>Equipment rental and/or lease</t>
  </si>
  <si>
    <t>Grease trap maintenance &amp; grease removal service</t>
  </si>
  <si>
    <t>Employee meals (Supplier employees)</t>
  </si>
  <si>
    <t>Janitorial services</t>
  </si>
  <si>
    <t>First aid equipment and supplies</t>
  </si>
  <si>
    <t>Pest control (Exterior)</t>
  </si>
  <si>
    <t>Hiring costs and background checks</t>
  </si>
  <si>
    <t>Pest control (Interior)</t>
  </si>
  <si>
    <t>Inspection fees required by law or N.C. A&amp;T</t>
  </si>
  <si>
    <t>Waste removal services (from the building)</t>
  </si>
  <si>
    <t>Landscaping and groundskeeping</t>
  </si>
  <si>
    <t>Waste removal services (to the loading dock)</t>
  </si>
  <si>
    <t>Laundry</t>
  </si>
  <si>
    <t>Window and door glass cleaning (exterior)</t>
  </si>
  <si>
    <t>Linens</t>
  </si>
  <si>
    <t>Window door glass cleaning (interior)</t>
  </si>
  <si>
    <t>Marketing &amp; promotions</t>
  </si>
  <si>
    <t>Utilities</t>
  </si>
  <si>
    <t>Merchant fees</t>
  </si>
  <si>
    <t>Cellular telephone service/phones for onsite employees</t>
  </si>
  <si>
    <t>Non-durable service ware</t>
  </si>
  <si>
    <t>Data line installation</t>
  </si>
  <si>
    <t>Office supplies</t>
  </si>
  <si>
    <t>Parking permits</t>
  </si>
  <si>
    <t>Internet service</t>
  </si>
  <si>
    <t>Security services</t>
  </si>
  <si>
    <t>Landline telephone installation</t>
  </si>
  <si>
    <t xml:space="preserve">Smallwares replacement </t>
  </si>
  <si>
    <t>Landline telephone service/handsets</t>
  </si>
  <si>
    <t>Subcontracted services</t>
  </si>
  <si>
    <t>Natural gas</t>
  </si>
  <si>
    <t>Training</t>
  </si>
  <si>
    <t>Steam</t>
  </si>
  <si>
    <t>Uniforms (including replacement)</t>
  </si>
  <si>
    <t>Water</t>
  </si>
  <si>
    <t>Vehicle operating costs - Onsite delivery vehicles</t>
  </si>
  <si>
    <t>Operating Permits and Licenses</t>
  </si>
  <si>
    <t>Maintenance, Repair and Replacement</t>
  </si>
  <si>
    <t>Alcohol permits</t>
  </si>
  <si>
    <t>Equipment maintenance, repair and replacement fund contributions</t>
  </si>
  <si>
    <t>Brand franchise, license and royalty fees</t>
  </si>
  <si>
    <t>Exhaust hood fire suppression system inspections</t>
  </si>
  <si>
    <t>Business operations licenses</t>
  </si>
  <si>
    <t xml:space="preserve">Preventive maintenance – N.C. A&amp;T owned Food Service Program equipment </t>
  </si>
  <si>
    <t>Health Department permits</t>
  </si>
  <si>
    <t>Preventive maintenance – N.C. A&amp;T owned Food Service Program technology</t>
  </si>
  <si>
    <t>Taxes and Insurance</t>
  </si>
  <si>
    <t>Preventive maintenance &amp; repair – Supplier owned equipment &amp; technology</t>
  </si>
  <si>
    <t>MSA required Supplier Insurance</t>
  </si>
  <si>
    <t>N.C. A&amp;T owned Food Service Program equipment repair</t>
  </si>
  <si>
    <t>Except as a result of acts, omissions or negligence of Supplier or its employees</t>
  </si>
  <si>
    <t>Property Insurance – N.C. A&amp;T owned property</t>
  </si>
  <si>
    <t>N.C. A&amp;T owned Food Service Program technology repair</t>
  </si>
  <si>
    <t>Property Tax – Supplier owned property</t>
  </si>
  <si>
    <t>N.C. A&amp;T owned equipment replacement</t>
  </si>
  <si>
    <t>Property Tax – N.C. A&amp;T owned property</t>
  </si>
  <si>
    <t>N.C. A&amp;T owned building &amp; infrastructure maintenance and repair</t>
  </si>
  <si>
    <t>Start Up, Fees &amp; Investment</t>
  </si>
  <si>
    <t>Operational Start Up costs</t>
  </si>
  <si>
    <t>Supplier capital investment amortization where authorized in the SOW</t>
  </si>
  <si>
    <t>Other (list)</t>
  </si>
  <si>
    <t>HISTORICAL COSTS</t>
  </si>
  <si>
    <t>Facilities Enhancement Fee (per submitted receipts)</t>
  </si>
  <si>
    <t>N.C. A&amp;T Mandated Technology Fees (List)</t>
  </si>
  <si>
    <t>Grease Removal</t>
  </si>
  <si>
    <t>Pest Control</t>
  </si>
  <si>
    <t>Waste Removal</t>
  </si>
  <si>
    <t>SUPPLIER CONTRIBUTED SUPPORT (in-kind donations and contributions)</t>
  </si>
  <si>
    <t>Dining Supplier</t>
  </si>
  <si>
    <t>FY22-23</t>
  </si>
  <si>
    <t>Support Description</t>
  </si>
  <si>
    <t>$ Value</t>
  </si>
  <si>
    <t>Working Capital</t>
  </si>
  <si>
    <t>Facility Enhancement</t>
  </si>
  <si>
    <t xml:space="preserve">40 Meal Plan Scholarships (20 per semester) </t>
  </si>
  <si>
    <t>Chancellor's Catering Fund</t>
  </si>
  <si>
    <t>Student Catering Fund</t>
  </si>
  <si>
    <t>Point of Sale System Contribution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</si>
</sst>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&quot;$&quot;#,##0_);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_(* #,##0_);_(* \(#,##0\);_(* &quot;-&quot;??_);_(@_)"/>
    <numFmt numFmtId="167" formatCode="&quot;$&quot;#,##0.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0"/>
      <name val="Verdana"/>
      <family val="2"/>
    </font>
    <font>
      <sz val="10"/>
      <name val="Arial"/>
      <family val="2"/>
    </font>
    <font>
      <sz val="10"/>
      <color theme="1"/>
      <name val="Franklin Gothic Book"/>
      <family val="2"/>
    </font>
    <font>
      <b/>
      <sz val="10"/>
      <color theme="1"/>
      <name val="Franklin Gothic Book"/>
      <family val="2"/>
    </font>
    <font>
      <b/>
      <sz val="10"/>
      <color theme="0"/>
      <name val="Franklin Gothic Book"/>
      <family val="2"/>
    </font>
    <font>
      <sz val="10"/>
      <name val="Franklin Gothic Book"/>
      <family val="2"/>
    </font>
    <font>
      <i/>
      <sz val="10"/>
      <color theme="1"/>
      <name val="Franklin Gothic Book"/>
      <family val="2"/>
    </font>
    <font>
      <sz val="10"/>
      <color rgb="FFFF0000"/>
      <name val="Franklin Gothic Book"/>
      <family val="2"/>
    </font>
    <font>
      <b/>
      <sz val="10"/>
      <name val="Franklin Gothic Book"/>
      <family val="2"/>
    </font>
    <font>
      <sz val="10"/>
      <color theme="0"/>
      <name val="Franklin Gothic Book"/>
      <family val="2"/>
    </font>
    <font>
      <sz val="10"/>
      <color rgb="FF000000"/>
      <name val="Franklin Gothic Book"/>
      <family val="2"/>
    </font>
    <font>
      <sz val="10"/>
      <color rgb="FF00B050"/>
      <name val="Franklin Gothic Book"/>
      <family val="2"/>
    </font>
    <font>
      <b/>
      <sz val="10"/>
      <color rgb="FFFFFFFF"/>
      <name val="Franklin Gothic Book"/>
      <family val="2"/>
    </font>
    <font>
      <b/>
      <sz val="10"/>
      <color rgb="FF000000"/>
      <name val="Franklin Gothic Book"/>
      <family val="2"/>
    </font>
    <font>
      <sz val="10"/>
      <color rgb="FF003D4C"/>
      <name val="Franklin Gothic Book"/>
      <family val="2"/>
    </font>
    <font>
      <b/>
      <sz val="9"/>
      <color rgb="FFFFFFFF"/>
      <name val="Franklin Gothic Book"/>
      <family val="2"/>
    </font>
    <font>
      <u/>
      <sz val="10"/>
      <color theme="1"/>
      <name val="Franklin Gothic Book"/>
      <family val="2"/>
    </font>
    <font>
      <sz val="9"/>
      <color theme="1"/>
      <name val="Franklin Gothic Book"/>
      <family val="2"/>
    </font>
    <font>
      <sz val="9"/>
      <color rgb="FFFF0000"/>
      <name val="Franklin Gothic Book"/>
      <family val="2"/>
    </font>
    <font>
      <sz val="8"/>
      <color theme="1"/>
      <name val="Franklin Gothic Book"/>
      <family val="2"/>
    </font>
    <font>
      <b/>
      <u/>
      <sz val="11"/>
      <color theme="1"/>
      <name val="Calibri"/>
      <family val="2"/>
      <scheme val="minor"/>
    </font>
    <font>
      <b/>
      <sz val="10"/>
      <color theme="0"/>
      <name val="Franklin Gothic Book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3D4C"/>
        <bgColor indexed="64"/>
      </patternFill>
    </fill>
    <fill>
      <patternFill patternType="solid">
        <fgColor rgb="FF776E64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auto="1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9" fontId="4" fillId="0" borderId="0"/>
    <xf numFmtId="0" fontId="5" fillId="0" borderId="0"/>
    <xf numFmtId="43" fontId="3" fillId="0" borderId="0" applyFon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2">
    <xf numFmtId="0" fontId="0" fillId="0" borderId="0" xfId="0"/>
    <xf numFmtId="0" fontId="7" fillId="0" borderId="0" xfId="0" applyFont="1"/>
    <xf numFmtId="0" fontId="8" fillId="0" borderId="0" xfId="0" applyFont="1"/>
    <xf numFmtId="0" fontId="7" fillId="0" borderId="4" xfId="0" applyFont="1" applyBorder="1"/>
    <xf numFmtId="0" fontId="7" fillId="0" borderId="2" xfId="0" applyFont="1" applyBorder="1"/>
    <xf numFmtId="0" fontId="8" fillId="0" borderId="0" xfId="0" applyFont="1" applyAlignment="1">
      <alignment horizontal="right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3" xfId="0" applyFont="1" applyBorder="1"/>
    <xf numFmtId="0" fontId="7" fillId="0" borderId="0" xfId="0" applyFont="1" applyAlignment="1">
      <alignment horizontal="center"/>
    </xf>
    <xf numFmtId="165" fontId="7" fillId="0" borderId="0" xfId="0" applyNumberFormat="1" applyFont="1"/>
    <xf numFmtId="42" fontId="7" fillId="0" borderId="0" xfId="0" applyNumberFormat="1" applyFont="1"/>
    <xf numFmtId="0" fontId="7" fillId="0" borderId="0" xfId="0" applyFont="1" applyAlignment="1">
      <alignment horizontal="right"/>
    </xf>
    <xf numFmtId="0" fontId="7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42" fontId="7" fillId="0" borderId="4" xfId="0" applyNumberFormat="1" applyFont="1" applyBorder="1"/>
    <xf numFmtId="0" fontId="8" fillId="0" borderId="4" xfId="0" applyFont="1" applyBorder="1" applyAlignment="1">
      <alignment horizontal="right"/>
    </xf>
    <xf numFmtId="0" fontId="9" fillId="3" borderId="8" xfId="0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13" fillId="0" borderId="0" xfId="0" applyFont="1"/>
    <xf numFmtId="0" fontId="13" fillId="0" borderId="0" xfId="0" applyFont="1" applyAlignment="1">
      <alignment vertical="center"/>
    </xf>
    <xf numFmtId="0" fontId="12" fillId="0" borderId="0" xfId="0" applyFont="1"/>
    <xf numFmtId="0" fontId="8" fillId="0" borderId="0" xfId="0" applyFont="1" applyAlignment="1">
      <alignment horizontal="center"/>
    </xf>
    <xf numFmtId="0" fontId="14" fillId="4" borderId="18" xfId="0" applyFont="1" applyFill="1" applyBorder="1"/>
    <xf numFmtId="0" fontId="8" fillId="0" borderId="13" xfId="0" applyFont="1" applyBorder="1" applyAlignment="1">
      <alignment horizontal="center"/>
    </xf>
    <xf numFmtId="0" fontId="9" fillId="3" borderId="4" xfId="0" applyFont="1" applyFill="1" applyBorder="1" applyAlignment="1">
      <alignment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/>
    <xf numFmtId="0" fontId="9" fillId="3" borderId="4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9" fillId="3" borderId="7" xfId="0" applyFont="1" applyFill="1" applyBorder="1" applyAlignment="1">
      <alignment horizontal="center" vertical="center"/>
    </xf>
    <xf numFmtId="0" fontId="10" fillId="0" borderId="0" xfId="0" applyFont="1"/>
    <xf numFmtId="0" fontId="13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4" borderId="23" xfId="2" applyFont="1" applyFill="1" applyBorder="1"/>
    <xf numFmtId="0" fontId="7" fillId="4" borderId="0" xfId="0" applyFont="1" applyFill="1"/>
    <xf numFmtId="0" fontId="7" fillId="4" borderId="24" xfId="0" applyFont="1" applyFill="1" applyBorder="1"/>
    <xf numFmtId="0" fontId="9" fillId="3" borderId="1" xfId="0" applyFont="1" applyFill="1" applyBorder="1" applyAlignment="1">
      <alignment horizontal="center"/>
    </xf>
    <xf numFmtId="0" fontId="9" fillId="3" borderId="14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166" fontId="7" fillId="0" borderId="13" xfId="9" applyNumberFormat="1" applyFont="1" applyBorder="1"/>
    <xf numFmtId="166" fontId="7" fillId="0" borderId="2" xfId="9" applyNumberFormat="1" applyFont="1" applyBorder="1"/>
    <xf numFmtId="166" fontId="7" fillId="0" borderId="5" xfId="9" applyNumberFormat="1" applyFont="1" applyBorder="1"/>
    <xf numFmtId="166" fontId="7" fillId="0" borderId="3" xfId="9" applyNumberFormat="1" applyFont="1" applyBorder="1"/>
    <xf numFmtId="166" fontId="7" fillId="0" borderId="4" xfId="9" applyNumberFormat="1" applyFont="1" applyBorder="1"/>
    <xf numFmtId="166" fontId="7" fillId="0" borderId="4" xfId="9" applyNumberFormat="1" applyFont="1" applyBorder="1" applyAlignment="1">
      <alignment horizontal="center"/>
    </xf>
    <xf numFmtId="0" fontId="8" fillId="0" borderId="19" xfId="0" applyFont="1" applyBorder="1" applyAlignment="1">
      <alignment horizontal="right"/>
    </xf>
    <xf numFmtId="166" fontId="7" fillId="0" borderId="0" xfId="9" applyNumberFormat="1" applyFont="1" applyBorder="1"/>
    <xf numFmtId="0" fontId="16" fillId="0" borderId="0" xfId="0" applyFont="1"/>
    <xf numFmtId="166" fontId="8" fillId="0" borderId="0" xfId="9" applyNumberFormat="1" applyFont="1" applyBorder="1" applyAlignment="1">
      <alignment horizontal="right"/>
    </xf>
    <xf numFmtId="0" fontId="7" fillId="2" borderId="4" xfId="0" applyFont="1" applyFill="1" applyBorder="1"/>
    <xf numFmtId="0" fontId="10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/>
    </xf>
    <xf numFmtId="0" fontId="14" fillId="0" borderId="0" xfId="0" applyFont="1" applyAlignment="1">
      <alignment wrapText="1"/>
    </xf>
    <xf numFmtId="5" fontId="7" fillId="0" borderId="6" xfId="0" applyNumberFormat="1" applyFont="1" applyBorder="1"/>
    <xf numFmtId="166" fontId="7" fillId="0" borderId="16" xfId="9" applyNumberFormat="1" applyFont="1" applyBorder="1"/>
    <xf numFmtId="42" fontId="9" fillId="4" borderId="3" xfId="0" applyNumberFormat="1" applyFont="1" applyFill="1" applyBorder="1" applyAlignment="1">
      <alignment horizontal="center" vertical="center" wrapText="1"/>
    </xf>
    <xf numFmtId="42" fontId="9" fillId="4" borderId="25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7" fillId="1" borderId="4" xfId="0" applyFont="1" applyFill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center" indent="7"/>
    </xf>
    <xf numFmtId="0" fontId="10" fillId="0" borderId="4" xfId="0" applyFont="1" applyBorder="1" applyAlignment="1">
      <alignment vertical="center" wrapText="1"/>
    </xf>
    <xf numFmtId="0" fontId="18" fillId="5" borderId="4" xfId="0" applyFont="1" applyFill="1" applyBorder="1" applyAlignment="1">
      <alignment vertical="center" wrapText="1"/>
    </xf>
    <xf numFmtId="0" fontId="19" fillId="0" borderId="0" xfId="0" applyFont="1"/>
    <xf numFmtId="0" fontId="18" fillId="5" borderId="4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wrapText="1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0" fillId="0" borderId="4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2" fillId="0" borderId="4" xfId="0" applyFont="1" applyBorder="1" applyAlignment="1">
      <alignment vertical="center" wrapText="1"/>
    </xf>
    <xf numFmtId="0" fontId="10" fillId="0" borderId="4" xfId="0" applyFont="1" applyBorder="1"/>
    <xf numFmtId="0" fontId="15" fillId="0" borderId="4" xfId="0" applyFont="1" applyBorder="1"/>
    <xf numFmtId="0" fontId="15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9" fillId="3" borderId="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14" fillId="0" borderId="0" xfId="0" applyFont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9" fillId="4" borderId="28" xfId="0" applyFont="1" applyFill="1" applyBorder="1" applyAlignment="1">
      <alignment horizontal="center" vertical="center"/>
    </xf>
    <xf numFmtId="0" fontId="9" fillId="4" borderId="28" xfId="0" applyFont="1" applyFill="1" applyBorder="1" applyAlignment="1">
      <alignment horizontal="center" vertical="center" wrapText="1"/>
    </xf>
    <xf numFmtId="0" fontId="10" fillId="0" borderId="28" xfId="3" applyFont="1" applyBorder="1" applyAlignment="1">
      <alignment vertical="center" shrinkToFit="1"/>
    </xf>
    <xf numFmtId="0" fontId="10" fillId="0" borderId="28" xfId="3" applyFont="1" applyBorder="1" applyAlignment="1">
      <alignment vertical="center"/>
    </xf>
    <xf numFmtId="0" fontId="7" fillId="0" borderId="28" xfId="0" applyFont="1" applyBorder="1" applyAlignment="1">
      <alignment vertical="center"/>
    </xf>
    <xf numFmtId="0" fontId="9" fillId="3" borderId="30" xfId="0" applyFont="1" applyFill="1" applyBorder="1"/>
    <xf numFmtId="0" fontId="14" fillId="3" borderId="31" xfId="0" applyFont="1" applyFill="1" applyBorder="1"/>
    <xf numFmtId="0" fontId="9" fillId="3" borderId="32" xfId="0" applyFont="1" applyFill="1" applyBorder="1" applyAlignment="1">
      <alignment horizontal="center"/>
    </xf>
    <xf numFmtId="0" fontId="8" fillId="0" borderId="33" xfId="0" applyFont="1" applyBorder="1"/>
    <xf numFmtId="0" fontId="7" fillId="0" borderId="33" xfId="0" applyFont="1" applyBorder="1"/>
    <xf numFmtId="0" fontId="9" fillId="4" borderId="35" xfId="0" applyFont="1" applyFill="1" applyBorder="1"/>
    <xf numFmtId="0" fontId="14" fillId="4" borderId="36" xfId="0" applyFont="1" applyFill="1" applyBorder="1"/>
    <xf numFmtId="0" fontId="7" fillId="0" borderId="39" xfId="0" applyFont="1" applyBorder="1"/>
    <xf numFmtId="0" fontId="7" fillId="0" borderId="29" xfId="0" applyFont="1" applyBorder="1" applyAlignment="1">
      <alignment horizontal="right"/>
    </xf>
    <xf numFmtId="0" fontId="7" fillId="0" borderId="40" xfId="0" applyFont="1" applyBorder="1"/>
    <xf numFmtId="0" fontId="9" fillId="3" borderId="28" xfId="0" applyFont="1" applyFill="1" applyBorder="1" applyAlignment="1">
      <alignment horizontal="center" vertical="center"/>
    </xf>
    <xf numFmtId="0" fontId="7" fillId="0" borderId="28" xfId="0" applyFont="1" applyBorder="1" applyAlignment="1">
      <alignment horizontal="right"/>
    </xf>
    <xf numFmtId="0" fontId="7" fillId="0" borderId="28" xfId="0" applyFont="1" applyBorder="1" applyAlignment="1">
      <alignment horizontal="right" wrapText="1"/>
    </xf>
    <xf numFmtId="0" fontId="14" fillId="4" borderId="28" xfId="0" applyFont="1" applyFill="1" applyBorder="1"/>
    <xf numFmtId="0" fontId="9" fillId="3" borderId="27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left" vertical="center"/>
    </xf>
    <xf numFmtId="44" fontId="7" fillId="0" borderId="4" xfId="1" applyFont="1" applyBorder="1"/>
    <xf numFmtId="0" fontId="11" fillId="0" borderId="0" xfId="0" applyFont="1" applyAlignment="1">
      <alignment horizontal="right"/>
    </xf>
    <xf numFmtId="0" fontId="7" fillId="0" borderId="4" xfId="0" applyFont="1" applyBorder="1" applyAlignment="1">
      <alignment horizontal="left" vertical="center"/>
    </xf>
    <xf numFmtId="0" fontId="9" fillId="0" borderId="33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5" fillId="0" borderId="0" xfId="0" applyFont="1"/>
    <xf numFmtId="0" fontId="9" fillId="3" borderId="26" xfId="0" applyFont="1" applyFill="1" applyBorder="1" applyAlignment="1">
      <alignment vertical="center"/>
    </xf>
    <xf numFmtId="0" fontId="7" fillId="0" borderId="13" xfId="0" applyFont="1" applyBorder="1"/>
    <xf numFmtId="0" fontId="7" fillId="0" borderId="5" xfId="0" applyFont="1" applyBorder="1"/>
    <xf numFmtId="0" fontId="9" fillId="3" borderId="28" xfId="0" applyFont="1" applyFill="1" applyBorder="1" applyAlignment="1">
      <alignment vertical="center"/>
    </xf>
    <xf numFmtId="9" fontId="7" fillId="0" borderId="0" xfId="10" applyFont="1" applyFill="1" applyBorder="1"/>
    <xf numFmtId="0" fontId="10" fillId="0" borderId="4" xfId="0" applyFont="1" applyBorder="1" applyAlignment="1">
      <alignment horizontal="left" vertical="center"/>
    </xf>
    <xf numFmtId="0" fontId="10" fillId="0" borderId="4" xfId="0" applyFont="1" applyBorder="1" applyAlignment="1">
      <alignment horizontal="left"/>
    </xf>
    <xf numFmtId="0" fontId="7" fillId="0" borderId="4" xfId="0" applyFont="1" applyBorder="1" applyAlignment="1">
      <alignment horizontal="center"/>
    </xf>
    <xf numFmtId="0" fontId="9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0" fontId="7" fillId="0" borderId="3" xfId="0" applyFont="1" applyBorder="1" applyAlignment="1">
      <alignment horizontal="center" wrapText="1"/>
    </xf>
    <xf numFmtId="0" fontId="7" fillId="6" borderId="4" xfId="0" applyFont="1" applyFill="1" applyBorder="1" applyAlignment="1">
      <alignment horizontal="center" vertical="center"/>
    </xf>
    <xf numFmtId="0" fontId="7" fillId="0" borderId="0" xfId="1" applyNumberFormat="1" applyFont="1" applyBorder="1" applyAlignment="1">
      <alignment vertical="center"/>
    </xf>
    <xf numFmtId="0" fontId="10" fillId="0" borderId="28" xfId="3" applyFont="1" applyBorder="1" applyAlignment="1">
      <alignment horizontal="center" vertical="center" shrinkToFit="1"/>
    </xf>
    <xf numFmtId="0" fontId="7" fillId="0" borderId="28" xfId="1" applyNumberFormat="1" applyFont="1" applyBorder="1" applyAlignment="1">
      <alignment horizontal="center" vertical="center"/>
    </xf>
    <xf numFmtId="0" fontId="10" fillId="0" borderId="28" xfId="3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14" fontId="8" fillId="0" borderId="34" xfId="0" applyNumberFormat="1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43" fontId="7" fillId="0" borderId="4" xfId="9" applyFont="1" applyBorder="1"/>
    <xf numFmtId="3" fontId="7" fillId="0" borderId="17" xfId="0" applyNumberFormat="1" applyFont="1" applyBorder="1"/>
    <xf numFmtId="3" fontId="7" fillId="0" borderId="2" xfId="0" applyNumberFormat="1" applyFont="1" applyBorder="1"/>
    <xf numFmtId="3" fontId="7" fillId="0" borderId="2" xfId="9" applyNumberFormat="1" applyFont="1" applyBorder="1"/>
    <xf numFmtId="3" fontId="7" fillId="0" borderId="3" xfId="0" applyNumberFormat="1" applyFont="1" applyBorder="1"/>
    <xf numFmtId="0" fontId="10" fillId="0" borderId="28" xfId="0" applyFont="1" applyBorder="1" applyAlignment="1">
      <alignment horizontal="right"/>
    </xf>
    <xf numFmtId="0" fontId="10" fillId="0" borderId="28" xfId="0" applyFont="1" applyBorder="1" applyAlignment="1">
      <alignment horizontal="center" vertical="center"/>
    </xf>
    <xf numFmtId="0" fontId="10" fillId="4" borderId="28" xfId="0" applyFont="1" applyFill="1" applyBorder="1" applyAlignment="1">
      <alignment horizontal="center" vertical="center" wrapText="1"/>
    </xf>
    <xf numFmtId="0" fontId="7" fillId="0" borderId="28" xfId="0" applyFont="1" applyBorder="1" applyAlignment="1">
      <alignment horizontal="center"/>
    </xf>
    <xf numFmtId="0" fontId="10" fillId="0" borderId="28" xfId="0" applyFont="1" applyBorder="1" applyAlignment="1">
      <alignment horizontal="center"/>
    </xf>
    <xf numFmtId="0" fontId="14" fillId="4" borderId="28" xfId="0" applyFont="1" applyFill="1" applyBorder="1" applyAlignment="1">
      <alignment horizontal="center"/>
    </xf>
    <xf numFmtId="166" fontId="7" fillId="0" borderId="4" xfId="9" applyNumberFormat="1" applyFont="1" applyFill="1" applyBorder="1" applyAlignment="1">
      <alignment horizontal="center"/>
    </xf>
    <xf numFmtId="166" fontId="7" fillId="0" borderId="4" xfId="9" applyNumberFormat="1" applyFont="1" applyFill="1" applyBorder="1"/>
    <xf numFmtId="166" fontId="7" fillId="0" borderId="2" xfId="9" applyNumberFormat="1" applyFont="1" applyBorder="1" applyAlignment="1">
      <alignment horizontal="center"/>
    </xf>
    <xf numFmtId="166" fontId="7" fillId="0" borderId="3" xfId="9" applyNumberFormat="1" applyFont="1" applyBorder="1" applyAlignment="1">
      <alignment horizontal="center"/>
    </xf>
    <xf numFmtId="44" fontId="7" fillId="0" borderId="4" xfId="1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167" fontId="7" fillId="0" borderId="28" xfId="0" applyNumberFormat="1" applyFont="1" applyBorder="1" applyAlignment="1">
      <alignment horizontal="center"/>
    </xf>
    <xf numFmtId="167" fontId="14" fillId="4" borderId="28" xfId="0" applyNumberFormat="1" applyFont="1" applyFill="1" applyBorder="1"/>
    <xf numFmtId="167" fontId="14" fillId="4" borderId="28" xfId="0" applyNumberFormat="1" applyFont="1" applyFill="1" applyBorder="1" applyAlignment="1">
      <alignment horizontal="center"/>
    </xf>
    <xf numFmtId="0" fontId="8" fillId="0" borderId="4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42" fontId="7" fillId="0" borderId="4" xfId="0" applyNumberFormat="1" applyFont="1" applyBorder="1" applyAlignment="1">
      <alignment horizontal="center"/>
    </xf>
    <xf numFmtId="0" fontId="9" fillId="3" borderId="28" xfId="0" applyFont="1" applyFill="1" applyBorder="1" applyAlignment="1">
      <alignment horizontal="center" vertical="center" wrapText="1"/>
    </xf>
    <xf numFmtId="166" fontId="7" fillId="0" borderId="16" xfId="9" applyNumberFormat="1" applyFont="1" applyFill="1" applyBorder="1"/>
    <xf numFmtId="0" fontId="9" fillId="3" borderId="48" xfId="0" applyFont="1" applyFill="1" applyBorder="1" applyAlignment="1">
      <alignment horizontal="center" vertical="center"/>
    </xf>
    <xf numFmtId="0" fontId="7" fillId="0" borderId="17" xfId="0" applyFont="1" applyBorder="1" applyAlignment="1">
      <alignment horizontal="center"/>
    </xf>
    <xf numFmtId="164" fontId="8" fillId="0" borderId="43" xfId="0" applyNumberFormat="1" applyFont="1" applyBorder="1" applyAlignment="1">
      <alignment horizontal="center" vertical="center"/>
    </xf>
    <xf numFmtId="44" fontId="7" fillId="0" borderId="0" xfId="0" applyNumberFormat="1" applyFont="1" applyAlignment="1">
      <alignment horizontal="center" vertical="center"/>
    </xf>
    <xf numFmtId="0" fontId="9" fillId="3" borderId="3" xfId="0" applyFont="1" applyFill="1" applyBorder="1" applyAlignment="1">
      <alignment horizontal="center" vertical="center" wrapText="1"/>
    </xf>
    <xf numFmtId="167" fontId="7" fillId="0" borderId="4" xfId="0" applyNumberFormat="1" applyFont="1" applyBorder="1"/>
    <xf numFmtId="44" fontId="7" fillId="0" borderId="0" xfId="0" applyNumberFormat="1" applyFont="1"/>
    <xf numFmtId="8" fontId="7" fillId="0" borderId="4" xfId="0" applyNumberFormat="1" applyFont="1" applyBorder="1"/>
    <xf numFmtId="166" fontId="8" fillId="0" borderId="4" xfId="9" applyNumberFormat="1" applyFont="1" applyBorder="1"/>
    <xf numFmtId="42" fontId="8" fillId="0" borderId="0" xfId="0" applyNumberFormat="1" applyFont="1"/>
    <xf numFmtId="166" fontId="8" fillId="0" borderId="3" xfId="9" applyNumberFormat="1" applyFont="1" applyBorder="1"/>
    <xf numFmtId="0" fontId="8" fillId="0" borderId="4" xfId="0" applyFont="1" applyBorder="1"/>
    <xf numFmtId="42" fontId="8" fillId="0" borderId="4" xfId="0" applyNumberFormat="1" applyFont="1" applyBorder="1"/>
    <xf numFmtId="0" fontId="9" fillId="4" borderId="28" xfId="0" applyFont="1" applyFill="1" applyBorder="1" applyAlignment="1">
      <alignment wrapText="1"/>
    </xf>
    <xf numFmtId="0" fontId="13" fillId="0" borderId="28" xfId="0" applyFont="1" applyBorder="1" applyAlignment="1">
      <alignment horizontal="center"/>
    </xf>
    <xf numFmtId="0" fontId="9" fillId="4" borderId="28" xfId="0" applyFont="1" applyFill="1" applyBorder="1"/>
    <xf numFmtId="164" fontId="7" fillId="0" borderId="4" xfId="1" applyNumberFormat="1" applyFont="1" applyFill="1" applyBorder="1" applyAlignment="1"/>
    <xf numFmtId="164" fontId="7" fillId="0" borderId="4" xfId="1" applyNumberFormat="1" applyFont="1" applyBorder="1"/>
    <xf numFmtId="164" fontId="7" fillId="0" borderId="4" xfId="1" applyNumberFormat="1" applyFont="1" applyFill="1" applyBorder="1"/>
    <xf numFmtId="0" fontId="7" fillId="0" borderId="4" xfId="0" applyFont="1" applyBorder="1" applyAlignment="1">
      <alignment horizontal="left" wrapText="1"/>
    </xf>
    <xf numFmtId="0" fontId="7" fillId="0" borderId="4" xfId="0" applyFont="1" applyBorder="1" applyAlignment="1">
      <alignment wrapText="1"/>
    </xf>
    <xf numFmtId="0" fontId="10" fillId="0" borderId="4" xfId="0" applyFont="1" applyBorder="1" applyAlignment="1">
      <alignment wrapText="1"/>
    </xf>
    <xf numFmtId="0" fontId="26" fillId="3" borderId="4" xfId="0" applyFont="1" applyFill="1" applyBorder="1" applyAlignment="1">
      <alignment horizontal="center" vertical="center" wrapText="1"/>
    </xf>
    <xf numFmtId="166" fontId="7" fillId="0" borderId="0" xfId="0" applyNumberFormat="1" applyFont="1"/>
    <xf numFmtId="0" fontId="9" fillId="3" borderId="28" xfId="0" applyFont="1" applyFill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/>
    </xf>
    <xf numFmtId="0" fontId="9" fillId="3" borderId="18" xfId="0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25" fillId="7" borderId="1" xfId="2" applyFont="1" applyFill="1" applyBorder="1" applyAlignment="1">
      <alignment horizontal="center" vertical="center"/>
    </xf>
    <xf numFmtId="0" fontId="25" fillId="7" borderId="41" xfId="2" applyFont="1" applyFill="1" applyBorder="1" applyAlignment="1">
      <alignment horizontal="center" vertical="center"/>
    </xf>
    <xf numFmtId="0" fontId="25" fillId="7" borderId="7" xfId="2" applyFont="1" applyFill="1" applyBorder="1" applyAlignment="1">
      <alignment horizontal="center" vertical="center"/>
    </xf>
    <xf numFmtId="0" fontId="25" fillId="7" borderId="44" xfId="2" applyFont="1" applyFill="1" applyBorder="1" applyAlignment="1">
      <alignment horizontal="center" vertical="center"/>
    </xf>
    <xf numFmtId="0" fontId="25" fillId="7" borderId="45" xfId="2" applyFont="1" applyFill="1" applyBorder="1" applyAlignment="1">
      <alignment horizontal="center" vertical="center"/>
    </xf>
    <xf numFmtId="0" fontId="25" fillId="7" borderId="46" xfId="2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 wrapText="1"/>
    </xf>
    <xf numFmtId="42" fontId="9" fillId="3" borderId="0" xfId="0" applyNumberFormat="1" applyFont="1" applyFill="1" applyAlignment="1">
      <alignment horizontal="center" vertical="center" wrapText="1"/>
    </xf>
    <xf numFmtId="42" fontId="9" fillId="3" borderId="18" xfId="0" applyNumberFormat="1" applyFont="1" applyFill="1" applyBorder="1" applyAlignment="1">
      <alignment horizontal="center" vertical="center" wrapText="1"/>
    </xf>
    <xf numFmtId="42" fontId="9" fillId="3" borderId="4" xfId="0" applyNumberFormat="1" applyFont="1" applyFill="1" applyBorder="1" applyAlignment="1">
      <alignment horizontal="center"/>
    </xf>
    <xf numFmtId="42" fontId="9" fillId="3" borderId="6" xfId="0" applyNumberFormat="1" applyFont="1" applyFill="1" applyBorder="1" applyAlignment="1">
      <alignment horizontal="center"/>
    </xf>
    <xf numFmtId="42" fontId="9" fillId="3" borderId="15" xfId="0" applyNumberFormat="1" applyFont="1" applyFill="1" applyBorder="1" applyAlignment="1">
      <alignment horizontal="center"/>
    </xf>
    <xf numFmtId="42" fontId="9" fillId="3" borderId="16" xfId="0" applyNumberFormat="1" applyFont="1" applyFill="1" applyBorder="1" applyAlignment="1">
      <alignment horizontal="center"/>
    </xf>
    <xf numFmtId="0" fontId="7" fillId="0" borderId="33" xfId="0" applyFont="1" applyBorder="1" applyAlignment="1">
      <alignment horizontal="right" wrapText="1"/>
    </xf>
    <xf numFmtId="0" fontId="7" fillId="0" borderId="0" xfId="0" applyFont="1" applyAlignment="1">
      <alignment horizontal="right" wrapText="1"/>
    </xf>
    <xf numFmtId="0" fontId="7" fillId="6" borderId="37" xfId="0" applyFont="1" applyFill="1" applyBorder="1" applyAlignment="1">
      <alignment horizontal="center"/>
    </xf>
    <xf numFmtId="0" fontId="7" fillId="6" borderId="4" xfId="0" applyFont="1" applyFill="1" applyBorder="1" applyAlignment="1">
      <alignment horizontal="center"/>
    </xf>
    <xf numFmtId="0" fontId="7" fillId="6" borderId="38" xfId="0" applyFont="1" applyFill="1" applyBorder="1" applyAlignment="1">
      <alignment horizontal="center"/>
    </xf>
    <xf numFmtId="0" fontId="9" fillId="4" borderId="15" xfId="0" applyFont="1" applyFill="1" applyBorder="1" applyAlignment="1">
      <alignment horizontal="center"/>
    </xf>
    <xf numFmtId="0" fontId="9" fillId="4" borderId="16" xfId="0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9" fillId="4" borderId="28" xfId="0" applyFont="1" applyFill="1" applyBorder="1" applyAlignment="1">
      <alignment horizontal="left"/>
    </xf>
    <xf numFmtId="0" fontId="16" fillId="0" borderId="0" xfId="0" applyFont="1" applyAlignment="1">
      <alignment horizontal="left"/>
    </xf>
    <xf numFmtId="0" fontId="14" fillId="0" borderId="0" xfId="0" applyFont="1" applyAlignment="1">
      <alignment horizontal="center" vertical="center" wrapText="1"/>
    </xf>
    <xf numFmtId="0" fontId="10" fillId="0" borderId="2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3" fillId="0" borderId="4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164" fontId="7" fillId="0" borderId="17" xfId="1" applyNumberFormat="1" applyFont="1" applyBorder="1" applyAlignment="1">
      <alignment horizontal="center" vertical="center"/>
    </xf>
    <xf numFmtId="164" fontId="7" fillId="0" borderId="3" xfId="1" applyNumberFormat="1" applyFont="1" applyBorder="1" applyAlignment="1">
      <alignment horizontal="center" vertical="center"/>
    </xf>
    <xf numFmtId="164" fontId="7" fillId="0" borderId="47" xfId="1" applyNumberFormat="1" applyFont="1" applyBorder="1" applyAlignment="1">
      <alignment horizontal="center" vertical="center"/>
    </xf>
    <xf numFmtId="164" fontId="7" fillId="0" borderId="50" xfId="1" applyNumberFormat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164" fontId="7" fillId="0" borderId="2" xfId="1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164" fontId="7" fillId="0" borderId="4" xfId="1" applyNumberFormat="1" applyFont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13" fillId="0" borderId="52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top" wrapText="1"/>
    </xf>
    <xf numFmtId="0" fontId="7" fillId="0" borderId="16" xfId="0" applyFont="1" applyBorder="1" applyAlignment="1">
      <alignment horizontal="left" vertical="top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/>
    </xf>
    <xf numFmtId="0" fontId="9" fillId="3" borderId="21" xfId="0" applyFont="1" applyFill="1" applyBorder="1" applyAlignment="1">
      <alignment horizontal="center"/>
    </xf>
    <xf numFmtId="0" fontId="9" fillId="3" borderId="22" xfId="0" applyFont="1" applyFill="1" applyBorder="1" applyAlignment="1">
      <alignment horizontal="center"/>
    </xf>
    <xf numFmtId="0" fontId="15" fillId="0" borderId="6" xfId="0" applyFont="1" applyBorder="1" applyAlignment="1"/>
    <xf numFmtId="0" fontId="15" fillId="0" borderId="15" xfId="0" applyFont="1" applyBorder="1" applyAlignment="1"/>
    <xf numFmtId="0" fontId="15" fillId="0" borderId="16" xfId="0" applyFont="1" applyBorder="1" applyAlignment="1"/>
    <xf numFmtId="0" fontId="9" fillId="3" borderId="17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8" fillId="5" borderId="6" xfId="0" applyFont="1" applyFill="1" applyBorder="1" applyAlignment="1">
      <alignment vertical="center" wrapText="1"/>
    </xf>
    <xf numFmtId="0" fontId="18" fillId="5" borderId="15" xfId="0" applyFont="1" applyFill="1" applyBorder="1" applyAlignment="1">
      <alignment vertical="center" wrapText="1"/>
    </xf>
    <xf numFmtId="0" fontId="18" fillId="5" borderId="16" xfId="0" applyFont="1" applyFill="1" applyBorder="1" applyAlignment="1">
      <alignment vertical="center" wrapText="1"/>
    </xf>
    <xf numFmtId="0" fontId="17" fillId="3" borderId="17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7" fillId="3" borderId="6" xfId="0" applyFont="1" applyFill="1" applyBorder="1" applyAlignment="1">
      <alignment horizontal="center" vertical="center" wrapText="1"/>
    </xf>
    <xf numFmtId="0" fontId="17" fillId="3" borderId="15" xfId="0" applyFont="1" applyFill="1" applyBorder="1" applyAlignment="1">
      <alignment horizontal="center" vertical="center" wrapText="1"/>
    </xf>
    <xf numFmtId="0" fontId="17" fillId="3" borderId="16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left" vertical="center"/>
    </xf>
    <xf numFmtId="0" fontId="13" fillId="5" borderId="15" xfId="0" applyFont="1" applyFill="1" applyBorder="1" applyAlignment="1">
      <alignment horizontal="left" vertical="center"/>
    </xf>
    <xf numFmtId="0" fontId="13" fillId="5" borderId="16" xfId="0" applyFont="1" applyFill="1" applyBorder="1" applyAlignment="1">
      <alignment horizontal="left" vertical="center"/>
    </xf>
    <xf numFmtId="0" fontId="22" fillId="0" borderId="17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18" fillId="5" borderId="6" xfId="0" applyFont="1" applyFill="1" applyBorder="1" applyAlignment="1">
      <alignment horizontal="left" vertical="center" wrapText="1"/>
    </xf>
    <xf numFmtId="0" fontId="18" fillId="5" borderId="15" xfId="0" applyFont="1" applyFill="1" applyBorder="1" applyAlignment="1">
      <alignment horizontal="left" vertical="center" wrapText="1"/>
    </xf>
    <xf numFmtId="0" fontId="18" fillId="5" borderId="16" xfId="0" applyFont="1" applyFill="1" applyBorder="1" applyAlignment="1">
      <alignment horizontal="left" vertical="center" wrapText="1"/>
    </xf>
  </cellXfs>
  <cellStyles count="11">
    <cellStyle name="Comma" xfId="9" builtinId="3"/>
    <cellStyle name="Comma 3" xfId="7" xr:uid="{00000000-0005-0000-0000-000001000000}"/>
    <cellStyle name="Currency" xfId="1" builtinId="4"/>
    <cellStyle name="Currency 2" xfId="4" xr:uid="{00000000-0005-0000-0000-000003000000}"/>
    <cellStyle name="Hyperlink" xfId="2" builtinId="8"/>
    <cellStyle name="Normal" xfId="0" builtinId="0"/>
    <cellStyle name="Normal 2" xfId="8" xr:uid="{00000000-0005-0000-0000-000006000000}"/>
    <cellStyle name="Normal 2 2" xfId="3" xr:uid="{00000000-0005-0000-0000-000007000000}"/>
    <cellStyle name="Normal 2 3" xfId="5" xr:uid="{00000000-0005-0000-0000-000008000000}"/>
    <cellStyle name="Normal 3" xfId="6" xr:uid="{00000000-0005-0000-0000-000009000000}"/>
    <cellStyle name="Percent" xfId="10" builtinId="5"/>
  </cellStyles>
  <dxfs count="0"/>
  <tableStyles count="0" defaultTableStyle="TableStyleMedium9" defaultPivotStyle="PivotStyleLight16"/>
  <colors>
    <mruColors>
      <color rgb="FFFFFF99"/>
      <color rgb="FF003D4C"/>
      <color rgb="FF776E64"/>
      <color rgb="FFFFA86D"/>
      <color rgb="FFFFD889"/>
      <color rgb="FF000066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cat.edu/about/initiatives/index.php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70F48-BCE6-49A0-AEB1-E9322C834096}">
  <dimension ref="A1:N48"/>
  <sheetViews>
    <sheetView showGridLines="0" topLeftCell="A11" zoomScaleNormal="100" workbookViewId="0">
      <selection activeCell="N37" sqref="N37"/>
    </sheetView>
  </sheetViews>
  <sheetFormatPr defaultColWidth="8.7109375" defaultRowHeight="13.5" x14ac:dyDescent="0.25"/>
  <cols>
    <col min="1" max="1" width="2.140625" style="1" customWidth="1"/>
    <col min="2" max="2" width="20.7109375" style="1" customWidth="1"/>
    <col min="3" max="11" width="11.7109375" style="1" customWidth="1"/>
    <col min="12" max="12" width="11.140625" style="1" customWidth="1"/>
    <col min="13" max="13" width="12" style="1" customWidth="1"/>
    <col min="14" max="16384" width="8.7109375" style="1"/>
  </cols>
  <sheetData>
    <row r="1" spans="1:8" x14ac:dyDescent="0.25">
      <c r="A1" s="2" t="s">
        <v>0</v>
      </c>
      <c r="D1" s="2"/>
    </row>
    <row r="2" spans="1:8" x14ac:dyDescent="0.25">
      <c r="A2" s="20" t="s">
        <v>1</v>
      </c>
    </row>
    <row r="3" spans="1:8" x14ac:dyDescent="0.25">
      <c r="A3" s="2" t="s">
        <v>2</v>
      </c>
    </row>
    <row r="4" spans="1:8" x14ac:dyDescent="0.25">
      <c r="A4" s="2"/>
    </row>
    <row r="5" spans="1:8" x14ac:dyDescent="0.25">
      <c r="A5" s="2"/>
      <c r="B5" s="22" t="s">
        <v>3</v>
      </c>
      <c r="H5" s="57" t="s">
        <v>4</v>
      </c>
    </row>
    <row r="6" spans="1:8" ht="27" x14ac:dyDescent="0.25">
      <c r="A6" s="2"/>
      <c r="B6" s="93" t="s">
        <v>5</v>
      </c>
      <c r="C6" s="36" t="s">
        <v>6</v>
      </c>
      <c r="D6" s="36" t="s">
        <v>7</v>
      </c>
      <c r="E6" s="36" t="s">
        <v>8</v>
      </c>
      <c r="F6" s="90" t="s">
        <v>9</v>
      </c>
      <c r="G6" s="90" t="s">
        <v>10</v>
      </c>
      <c r="H6" s="90" t="s">
        <v>11</v>
      </c>
    </row>
    <row r="7" spans="1:8" x14ac:dyDescent="0.25">
      <c r="A7" s="2"/>
      <c r="B7" s="4" t="s">
        <v>12</v>
      </c>
      <c r="C7" s="49">
        <v>11833</v>
      </c>
      <c r="D7" s="49">
        <v>10991</v>
      </c>
      <c r="E7" s="49">
        <f>4602+3876</f>
        <v>8478</v>
      </c>
      <c r="F7" s="50">
        <v>12216</v>
      </c>
      <c r="G7" s="49">
        <v>11572</v>
      </c>
      <c r="H7" s="155" t="s">
        <v>13</v>
      </c>
    </row>
    <row r="8" spans="1:8" x14ac:dyDescent="0.25">
      <c r="A8" s="2"/>
      <c r="B8" s="4" t="s">
        <v>14</v>
      </c>
      <c r="C8" s="49">
        <v>1654</v>
      </c>
      <c r="D8" s="49">
        <v>1545</v>
      </c>
      <c r="E8" s="49">
        <f>449+273</f>
        <v>722</v>
      </c>
      <c r="F8" s="50">
        <v>1669</v>
      </c>
      <c r="G8" s="49">
        <v>1543</v>
      </c>
      <c r="H8" s="155" t="s">
        <v>13</v>
      </c>
    </row>
    <row r="9" spans="1:8" x14ac:dyDescent="0.25">
      <c r="A9" s="2"/>
      <c r="B9" s="4" t="s">
        <v>15</v>
      </c>
      <c r="C9" s="49">
        <v>583</v>
      </c>
      <c r="D9" s="49">
        <v>594</v>
      </c>
      <c r="E9" s="49">
        <v>290</v>
      </c>
      <c r="F9" s="50">
        <v>598</v>
      </c>
      <c r="G9" s="49">
        <v>598</v>
      </c>
      <c r="H9" s="155" t="s">
        <v>13</v>
      </c>
    </row>
    <row r="10" spans="1:8" x14ac:dyDescent="0.25">
      <c r="B10" s="8" t="s">
        <v>16</v>
      </c>
      <c r="C10" s="51">
        <v>1147</v>
      </c>
      <c r="D10" s="51">
        <v>1064</v>
      </c>
      <c r="E10" s="51">
        <v>910</v>
      </c>
      <c r="F10" s="52">
        <v>1162</v>
      </c>
      <c r="G10" s="51">
        <v>1162</v>
      </c>
      <c r="H10" s="156" t="s">
        <v>13</v>
      </c>
    </row>
    <row r="11" spans="1:8" x14ac:dyDescent="0.25">
      <c r="B11" s="5" t="s">
        <v>17</v>
      </c>
      <c r="C11" s="53">
        <f>SUM(C7:C10)</f>
        <v>15217</v>
      </c>
      <c r="D11" s="53">
        <f>SUM(D7:D10)</f>
        <v>14194</v>
      </c>
      <c r="E11" s="53">
        <f>SUM(E7:E10)</f>
        <v>10400</v>
      </c>
      <c r="F11" s="53">
        <f t="shared" ref="F11:H11" si="0">SUM(F7:F10)</f>
        <v>15645</v>
      </c>
      <c r="G11" s="53">
        <f>SUM(G7:G10)</f>
        <v>14875</v>
      </c>
      <c r="H11" s="53">
        <f t="shared" si="0"/>
        <v>0</v>
      </c>
    </row>
    <row r="12" spans="1:8" x14ac:dyDescent="0.25">
      <c r="B12" s="5"/>
      <c r="G12" s="1" t="s">
        <v>4</v>
      </c>
      <c r="H12" s="10" t="s">
        <v>4</v>
      </c>
    </row>
    <row r="13" spans="1:8" ht="13.5" customHeight="1" x14ac:dyDescent="0.25">
      <c r="B13" s="5"/>
    </row>
    <row r="14" spans="1:8" ht="13.5" customHeight="1" x14ac:dyDescent="0.25">
      <c r="B14" s="122" t="s">
        <v>18</v>
      </c>
      <c r="C14" s="36" t="s">
        <v>6</v>
      </c>
      <c r="D14" s="90" t="s">
        <v>9</v>
      </c>
      <c r="E14" s="35"/>
    </row>
    <row r="15" spans="1:8" ht="13.5" customHeight="1" x14ac:dyDescent="0.25">
      <c r="B15" s="123" t="s">
        <v>19</v>
      </c>
      <c r="C15" s="143">
        <v>4463</v>
      </c>
      <c r="D15" s="144">
        <v>4632</v>
      </c>
      <c r="E15" s="126"/>
    </row>
    <row r="16" spans="1:8" ht="13.5" customHeight="1" x14ac:dyDescent="0.25">
      <c r="B16" s="123" t="s">
        <v>20</v>
      </c>
      <c r="C16" s="144">
        <v>7370</v>
      </c>
      <c r="D16" s="144">
        <v>7584</v>
      </c>
      <c r="E16" s="126"/>
    </row>
    <row r="17" spans="2:13" ht="13.5" customHeight="1" thickBot="1" x14ac:dyDescent="0.3">
      <c r="B17" s="123" t="s">
        <v>21</v>
      </c>
      <c r="C17" s="144">
        <v>654</v>
      </c>
      <c r="D17" s="145">
        <v>688</v>
      </c>
      <c r="E17" s="126"/>
    </row>
    <row r="18" spans="2:13" ht="13.5" customHeight="1" x14ac:dyDescent="0.25">
      <c r="B18" s="124" t="s">
        <v>22</v>
      </c>
      <c r="C18" s="146">
        <v>1000</v>
      </c>
      <c r="D18" s="146">
        <v>981</v>
      </c>
      <c r="E18" s="10"/>
      <c r="K18" s="198" t="s">
        <v>23</v>
      </c>
      <c r="L18" s="199"/>
      <c r="M18" s="200"/>
    </row>
    <row r="19" spans="2:13" ht="13.5" customHeight="1" thickBot="1" x14ac:dyDescent="0.3">
      <c r="B19" s="5"/>
      <c r="K19" s="201"/>
      <c r="L19" s="202"/>
      <c r="M19" s="203"/>
    </row>
    <row r="20" spans="2:13" ht="13.5" customHeight="1" x14ac:dyDescent="0.25">
      <c r="B20" s="5"/>
    </row>
    <row r="21" spans="2:13" ht="13.5" customHeight="1" x14ac:dyDescent="0.25">
      <c r="B21" s="191" t="s">
        <v>24</v>
      </c>
      <c r="C21" s="192" t="s">
        <v>25</v>
      </c>
      <c r="D21" s="192"/>
      <c r="E21" s="193" t="s">
        <v>26</v>
      </c>
      <c r="F21" s="193"/>
      <c r="G21" s="193"/>
      <c r="H21" s="194" t="s">
        <v>27</v>
      </c>
      <c r="I21" s="195"/>
      <c r="J21" s="195"/>
      <c r="K21" s="195"/>
      <c r="L21" s="195"/>
      <c r="M21" s="195"/>
    </row>
    <row r="22" spans="2:13" ht="27" x14ac:dyDescent="0.25">
      <c r="B22" s="191"/>
      <c r="C22" s="192"/>
      <c r="D22" s="192"/>
      <c r="E22" s="47" t="s">
        <v>28</v>
      </c>
      <c r="F22" s="47" t="s">
        <v>29</v>
      </c>
      <c r="G22" s="47" t="s">
        <v>30</v>
      </c>
      <c r="H22" s="36" t="s">
        <v>6</v>
      </c>
      <c r="I22" s="36" t="s">
        <v>7</v>
      </c>
      <c r="J22" s="36" t="s">
        <v>8</v>
      </c>
      <c r="K22" s="90" t="s">
        <v>9</v>
      </c>
      <c r="L22" s="90" t="s">
        <v>10</v>
      </c>
      <c r="M22" s="90" t="s">
        <v>11</v>
      </c>
    </row>
    <row r="23" spans="2:13" x14ac:dyDescent="0.25">
      <c r="B23" s="3" t="s">
        <v>31</v>
      </c>
      <c r="C23" s="196" t="s">
        <v>32</v>
      </c>
      <c r="D23" s="197"/>
      <c r="F23" s="54" t="s">
        <v>32</v>
      </c>
      <c r="G23" s="54"/>
      <c r="H23" s="154">
        <v>807</v>
      </c>
      <c r="I23" s="154">
        <v>789</v>
      </c>
      <c r="J23" s="154">
        <v>452</v>
      </c>
      <c r="K23" s="154">
        <v>782</v>
      </c>
      <c r="L23" s="3">
        <f>768</f>
        <v>768</v>
      </c>
      <c r="M23" s="142">
        <v>0</v>
      </c>
    </row>
    <row r="24" spans="2:13" x14ac:dyDescent="0.25">
      <c r="B24" s="3" t="s">
        <v>33</v>
      </c>
      <c r="C24" s="196" t="s">
        <v>34</v>
      </c>
      <c r="D24" s="197"/>
      <c r="E24" s="153"/>
      <c r="F24" s="53"/>
      <c r="G24" s="54" t="s">
        <v>32</v>
      </c>
      <c r="H24" s="53">
        <v>99</v>
      </c>
      <c r="I24" s="53">
        <v>91</v>
      </c>
      <c r="J24" s="53">
        <v>0</v>
      </c>
      <c r="K24" s="53">
        <v>76</v>
      </c>
      <c r="L24" s="3">
        <v>74</v>
      </c>
      <c r="M24" s="142">
        <v>0</v>
      </c>
    </row>
    <row r="25" spans="2:13" x14ac:dyDescent="0.25">
      <c r="B25" s="3" t="s">
        <v>35</v>
      </c>
      <c r="C25" s="196" t="s">
        <v>32</v>
      </c>
      <c r="D25" s="197"/>
      <c r="E25" s="54"/>
      <c r="F25" s="54" t="s">
        <v>32</v>
      </c>
      <c r="G25" s="54"/>
      <c r="H25" s="53">
        <v>385</v>
      </c>
      <c r="I25" s="53">
        <v>378</v>
      </c>
      <c r="J25" s="53">
        <v>0</v>
      </c>
      <c r="K25" s="53">
        <v>363</v>
      </c>
      <c r="L25" s="3">
        <v>364</v>
      </c>
      <c r="M25" s="142">
        <v>0</v>
      </c>
    </row>
    <row r="26" spans="2:13" x14ac:dyDescent="0.25">
      <c r="B26" s="3" t="s">
        <v>36</v>
      </c>
      <c r="C26" s="196" t="s">
        <v>32</v>
      </c>
      <c r="D26" s="197"/>
      <c r="E26" s="54" t="s">
        <v>32</v>
      </c>
      <c r="F26" s="53"/>
      <c r="G26" s="54"/>
      <c r="H26" s="53">
        <v>228</v>
      </c>
      <c r="I26" s="53">
        <v>226</v>
      </c>
      <c r="J26" s="53">
        <v>0</v>
      </c>
      <c r="K26" s="53">
        <v>220</v>
      </c>
      <c r="L26" s="3">
        <v>219</v>
      </c>
      <c r="M26" s="142">
        <v>0</v>
      </c>
    </row>
    <row r="27" spans="2:13" x14ac:dyDescent="0.25">
      <c r="B27" s="3" t="s">
        <v>37</v>
      </c>
      <c r="C27" s="196" t="s">
        <v>32</v>
      </c>
      <c r="D27" s="197"/>
      <c r="E27" s="54" t="s">
        <v>32</v>
      </c>
      <c r="F27" s="53"/>
      <c r="G27" s="54"/>
      <c r="H27" s="53">
        <v>409</v>
      </c>
      <c r="I27" s="53">
        <v>389</v>
      </c>
      <c r="J27" s="53">
        <v>0</v>
      </c>
      <c r="K27" s="53">
        <v>404</v>
      </c>
      <c r="L27" s="3">
        <v>393</v>
      </c>
      <c r="M27" s="142">
        <v>0</v>
      </c>
    </row>
    <row r="28" spans="2:13" x14ac:dyDescent="0.25">
      <c r="B28" s="3" t="s">
        <v>38</v>
      </c>
      <c r="C28" s="196" t="s">
        <v>32</v>
      </c>
      <c r="D28" s="197"/>
      <c r="E28" s="54" t="s">
        <v>32</v>
      </c>
      <c r="F28" s="53"/>
      <c r="G28" s="54"/>
      <c r="H28" s="53">
        <v>147</v>
      </c>
      <c r="I28" s="53">
        <v>144</v>
      </c>
      <c r="J28" s="53">
        <v>0</v>
      </c>
      <c r="K28" s="53">
        <v>133</v>
      </c>
      <c r="L28" s="3">
        <v>136</v>
      </c>
      <c r="M28" s="142">
        <v>0</v>
      </c>
    </row>
    <row r="29" spans="2:13" x14ac:dyDescent="0.25">
      <c r="B29" s="3" t="s">
        <v>39</v>
      </c>
      <c r="C29" s="196" t="s">
        <v>32</v>
      </c>
      <c r="D29" s="197"/>
      <c r="E29" s="54"/>
      <c r="F29" s="54" t="s">
        <v>32</v>
      </c>
      <c r="G29" s="54"/>
      <c r="H29" s="53">
        <v>187</v>
      </c>
      <c r="I29" s="53">
        <v>178</v>
      </c>
      <c r="J29" s="53">
        <v>0</v>
      </c>
      <c r="K29" s="53">
        <v>172</v>
      </c>
      <c r="L29" s="3">
        <v>169</v>
      </c>
      <c r="M29" s="142">
        <v>0</v>
      </c>
    </row>
    <row r="30" spans="2:13" x14ac:dyDescent="0.25">
      <c r="B30" s="3" t="s">
        <v>40</v>
      </c>
      <c r="C30" s="196" t="s">
        <v>32</v>
      </c>
      <c r="D30" s="197"/>
      <c r="E30" s="54" t="s">
        <v>32</v>
      </c>
      <c r="F30" s="53"/>
      <c r="G30" s="54"/>
      <c r="H30" s="53">
        <v>137</v>
      </c>
      <c r="I30" s="53">
        <v>134</v>
      </c>
      <c r="J30" s="53">
        <v>0</v>
      </c>
      <c r="K30" s="53">
        <v>133</v>
      </c>
      <c r="L30" s="3">
        <v>132</v>
      </c>
      <c r="M30" s="142">
        <v>0</v>
      </c>
    </row>
    <row r="31" spans="2:13" x14ac:dyDescent="0.25">
      <c r="B31" s="3" t="s">
        <v>41</v>
      </c>
      <c r="C31" s="196" t="s">
        <v>32</v>
      </c>
      <c r="D31" s="197"/>
      <c r="E31" s="54" t="s">
        <v>32</v>
      </c>
      <c r="F31" s="53"/>
      <c r="G31" s="54"/>
      <c r="H31" s="53">
        <v>194</v>
      </c>
      <c r="I31" s="53">
        <v>194</v>
      </c>
      <c r="J31" s="53">
        <v>0</v>
      </c>
      <c r="K31" s="53">
        <v>168</v>
      </c>
      <c r="L31" s="3">
        <v>187</v>
      </c>
      <c r="M31" s="142">
        <v>0</v>
      </c>
    </row>
    <row r="32" spans="2:13" x14ac:dyDescent="0.25">
      <c r="B32" s="3" t="s">
        <v>42</v>
      </c>
      <c r="C32" s="196" t="s">
        <v>32</v>
      </c>
      <c r="D32" s="197"/>
      <c r="E32" s="54" t="s">
        <v>32</v>
      </c>
      <c r="F32" s="53"/>
      <c r="G32" s="54"/>
      <c r="H32" s="53">
        <v>220</v>
      </c>
      <c r="I32" s="53">
        <v>220</v>
      </c>
      <c r="J32" s="53">
        <v>0</v>
      </c>
      <c r="K32" s="53">
        <v>211</v>
      </c>
      <c r="L32" s="3">
        <v>212</v>
      </c>
      <c r="M32" s="142">
        <v>0</v>
      </c>
    </row>
    <row r="33" spans="2:14" x14ac:dyDescent="0.25">
      <c r="B33" s="3" t="s">
        <v>43</v>
      </c>
      <c r="C33" s="196" t="s">
        <v>32</v>
      </c>
      <c r="D33" s="197"/>
      <c r="E33" s="54" t="s">
        <v>32</v>
      </c>
      <c r="F33" s="53"/>
      <c r="G33" s="54"/>
      <c r="H33" s="53">
        <v>110</v>
      </c>
      <c r="I33" s="53">
        <v>105</v>
      </c>
      <c r="J33" s="53">
        <v>0</v>
      </c>
      <c r="K33" s="53">
        <v>99</v>
      </c>
      <c r="L33" s="3">
        <v>100</v>
      </c>
      <c r="M33" s="142">
        <v>0</v>
      </c>
    </row>
    <row r="34" spans="2:14" x14ac:dyDescent="0.25">
      <c r="B34" s="3" t="s">
        <v>44</v>
      </c>
      <c r="C34" s="196" t="s">
        <v>32</v>
      </c>
      <c r="D34" s="197"/>
      <c r="E34" s="54" t="s">
        <v>32</v>
      </c>
      <c r="F34" s="53"/>
      <c r="G34" s="54"/>
      <c r="H34" s="53">
        <v>194</v>
      </c>
      <c r="I34" s="53">
        <v>188</v>
      </c>
      <c r="J34" s="53">
        <v>0</v>
      </c>
      <c r="K34" s="53">
        <v>187</v>
      </c>
      <c r="L34" s="3">
        <v>187</v>
      </c>
      <c r="M34" s="142">
        <v>0</v>
      </c>
    </row>
    <row r="35" spans="2:14" x14ac:dyDescent="0.25">
      <c r="B35" s="3" t="s">
        <v>45</v>
      </c>
      <c r="C35" s="196" t="s">
        <v>32</v>
      </c>
      <c r="D35" s="197"/>
      <c r="E35" s="54" t="s">
        <v>32</v>
      </c>
      <c r="F35" s="53"/>
      <c r="G35" s="54"/>
      <c r="H35" s="53">
        <v>198</v>
      </c>
      <c r="I35" s="53">
        <v>198</v>
      </c>
      <c r="J35" s="53">
        <v>0</v>
      </c>
      <c r="K35" s="53">
        <v>191</v>
      </c>
      <c r="L35" s="3">
        <v>200</v>
      </c>
      <c r="M35" s="142">
        <v>0</v>
      </c>
    </row>
    <row r="36" spans="2:14" x14ac:dyDescent="0.25">
      <c r="B36" s="3" t="s">
        <v>46</v>
      </c>
      <c r="C36" s="196" t="s">
        <v>32</v>
      </c>
      <c r="D36" s="197"/>
      <c r="E36" s="3"/>
      <c r="F36" s="153" t="s">
        <v>32</v>
      </c>
      <c r="G36" s="54"/>
      <c r="H36" s="53">
        <v>442</v>
      </c>
      <c r="I36" s="53">
        <v>435</v>
      </c>
      <c r="J36" s="53">
        <v>0</v>
      </c>
      <c r="K36" s="53">
        <v>426</v>
      </c>
      <c r="L36" s="3">
        <v>428</v>
      </c>
      <c r="M36" s="3">
        <v>257</v>
      </c>
    </row>
    <row r="37" spans="2:14" x14ac:dyDescent="0.25">
      <c r="B37" s="3" t="s">
        <v>47</v>
      </c>
      <c r="C37" s="196" t="s">
        <v>32</v>
      </c>
      <c r="D37" s="197"/>
      <c r="E37" s="54" t="s">
        <v>32</v>
      </c>
      <c r="F37" s="53"/>
      <c r="G37" s="54"/>
      <c r="H37" s="53">
        <v>230</v>
      </c>
      <c r="I37" s="53">
        <v>222</v>
      </c>
      <c r="J37" s="53">
        <v>0</v>
      </c>
      <c r="K37" s="53">
        <v>216</v>
      </c>
      <c r="L37" s="3">
        <v>207</v>
      </c>
      <c r="M37" s="142">
        <v>0</v>
      </c>
      <c r="N37" s="190"/>
    </row>
    <row r="38" spans="2:14" x14ac:dyDescent="0.25">
      <c r="B38" s="3" t="s">
        <v>48</v>
      </c>
      <c r="C38" s="196" t="s">
        <v>34</v>
      </c>
      <c r="D38" s="197"/>
      <c r="E38" s="53"/>
      <c r="F38" s="53"/>
      <c r="G38" s="54" t="s">
        <v>32</v>
      </c>
      <c r="H38" s="53">
        <v>288</v>
      </c>
      <c r="I38" s="53">
        <v>284</v>
      </c>
      <c r="J38" s="53">
        <v>0</v>
      </c>
      <c r="K38" s="53">
        <v>285</v>
      </c>
      <c r="L38" s="3">
        <v>280</v>
      </c>
      <c r="M38" s="142">
        <v>0</v>
      </c>
    </row>
    <row r="39" spans="2:14" x14ac:dyDescent="0.25">
      <c r="B39" s="3" t="s">
        <v>49</v>
      </c>
      <c r="C39" s="196" t="s">
        <v>34</v>
      </c>
      <c r="D39" s="197"/>
      <c r="E39" s="53"/>
      <c r="F39" s="53"/>
      <c r="G39" s="54" t="s">
        <v>32</v>
      </c>
      <c r="H39" s="53">
        <v>299</v>
      </c>
      <c r="I39" s="53">
        <v>296</v>
      </c>
      <c r="J39" s="53">
        <v>0</v>
      </c>
      <c r="K39" s="53">
        <v>293</v>
      </c>
      <c r="L39" s="3">
        <v>292</v>
      </c>
      <c r="M39" s="142">
        <v>0</v>
      </c>
    </row>
    <row r="40" spans="2:14" x14ac:dyDescent="0.25">
      <c r="B40" s="3" t="s">
        <v>50</v>
      </c>
      <c r="C40" s="196" t="s">
        <v>34</v>
      </c>
      <c r="D40" s="197"/>
      <c r="E40" s="53"/>
      <c r="F40" s="53"/>
      <c r="G40" s="54" t="s">
        <v>32</v>
      </c>
      <c r="H40" s="53">
        <v>251</v>
      </c>
      <c r="I40" s="53">
        <v>249</v>
      </c>
      <c r="J40" s="53">
        <v>0</v>
      </c>
      <c r="K40" s="53">
        <v>248</v>
      </c>
      <c r="L40" s="3">
        <v>244</v>
      </c>
      <c r="M40" s="142">
        <v>0</v>
      </c>
    </row>
    <row r="41" spans="2:14" x14ac:dyDescent="0.25">
      <c r="B41" s="3" t="s">
        <v>51</v>
      </c>
      <c r="C41" s="196" t="s">
        <v>34</v>
      </c>
      <c r="D41" s="197"/>
      <c r="E41" s="53"/>
      <c r="F41" s="53"/>
      <c r="G41" s="54" t="s">
        <v>32</v>
      </c>
      <c r="H41" s="53">
        <v>144</v>
      </c>
      <c r="I41" s="53">
        <v>142</v>
      </c>
      <c r="J41" s="53">
        <v>0</v>
      </c>
      <c r="K41" s="53">
        <v>139</v>
      </c>
      <c r="L41" s="3">
        <v>133</v>
      </c>
      <c r="M41" s="142">
        <v>0</v>
      </c>
    </row>
    <row r="42" spans="2:14" x14ac:dyDescent="0.25">
      <c r="B42" s="3" t="s">
        <v>52</v>
      </c>
      <c r="C42" s="196" t="s">
        <v>34</v>
      </c>
      <c r="D42" s="197"/>
      <c r="E42" s="53"/>
      <c r="F42" s="53"/>
      <c r="G42" s="54" t="s">
        <v>32</v>
      </c>
      <c r="H42" s="53">
        <v>324</v>
      </c>
      <c r="I42" s="53">
        <v>311</v>
      </c>
      <c r="J42" s="53">
        <v>0</v>
      </c>
      <c r="K42" s="53">
        <v>320</v>
      </c>
      <c r="L42" s="3">
        <v>318</v>
      </c>
      <c r="M42" s="142">
        <v>0</v>
      </c>
    </row>
    <row r="43" spans="2:14" x14ac:dyDescent="0.25">
      <c r="B43" s="3" t="s">
        <v>53</v>
      </c>
      <c r="C43" s="196" t="s">
        <v>34</v>
      </c>
      <c r="D43" s="197"/>
      <c r="E43" s="53"/>
      <c r="F43" s="53"/>
      <c r="G43" s="54" t="s">
        <v>32</v>
      </c>
      <c r="H43" s="53">
        <v>108</v>
      </c>
      <c r="I43" s="53">
        <v>101</v>
      </c>
      <c r="J43" s="53">
        <v>0</v>
      </c>
      <c r="K43" s="53">
        <v>93</v>
      </c>
      <c r="L43" s="3">
        <v>102</v>
      </c>
      <c r="M43" s="142">
        <v>0</v>
      </c>
    </row>
    <row r="44" spans="2:14" x14ac:dyDescent="0.25">
      <c r="B44" s="3" t="s">
        <v>54</v>
      </c>
      <c r="C44" s="196" t="s">
        <v>34</v>
      </c>
      <c r="D44" s="197"/>
      <c r="E44" s="53"/>
      <c r="F44" s="53"/>
      <c r="G44" s="54" t="s">
        <v>32</v>
      </c>
      <c r="H44" s="53">
        <v>214</v>
      </c>
      <c r="I44" s="53">
        <v>209</v>
      </c>
      <c r="J44" s="53">
        <v>0</v>
      </c>
      <c r="K44" s="53">
        <v>207</v>
      </c>
      <c r="L44" s="3">
        <v>207</v>
      </c>
      <c r="M44" s="142">
        <v>0</v>
      </c>
    </row>
    <row r="45" spans="2:14" x14ac:dyDescent="0.25">
      <c r="B45" s="3" t="s">
        <v>55</v>
      </c>
      <c r="C45" s="196" t="s">
        <v>34</v>
      </c>
      <c r="D45" s="197"/>
      <c r="E45" s="53"/>
      <c r="F45" s="53"/>
      <c r="G45" s="54" t="s">
        <v>32</v>
      </c>
      <c r="H45" s="53">
        <v>24</v>
      </c>
      <c r="I45" s="53">
        <v>18</v>
      </c>
      <c r="J45" s="53">
        <v>0</v>
      </c>
      <c r="K45" s="53">
        <v>88</v>
      </c>
      <c r="L45" s="3">
        <v>93</v>
      </c>
      <c r="M45" s="142">
        <v>0</v>
      </c>
    </row>
    <row r="46" spans="2:14" x14ac:dyDescent="0.25">
      <c r="B46" s="3" t="s">
        <v>56</v>
      </c>
      <c r="C46" s="196" t="s">
        <v>34</v>
      </c>
      <c r="D46" s="197"/>
      <c r="E46" s="53"/>
      <c r="F46" s="53"/>
      <c r="G46" s="54" t="s">
        <v>32</v>
      </c>
      <c r="H46" s="53">
        <v>72</v>
      </c>
      <c r="I46" s="53">
        <v>66</v>
      </c>
      <c r="J46" s="53">
        <v>0</v>
      </c>
      <c r="K46" s="53">
        <v>87</v>
      </c>
      <c r="L46" s="3">
        <v>90</v>
      </c>
      <c r="M46" s="142">
        <v>0</v>
      </c>
    </row>
    <row r="47" spans="2:14" x14ac:dyDescent="0.25">
      <c r="B47" s="3" t="s">
        <v>57</v>
      </c>
      <c r="C47" s="196" t="s">
        <v>34</v>
      </c>
      <c r="D47" s="197"/>
      <c r="E47" s="53"/>
      <c r="F47" s="53"/>
      <c r="G47" s="54" t="s">
        <v>32</v>
      </c>
      <c r="H47" s="53">
        <v>162</v>
      </c>
      <c r="I47" s="53">
        <v>165</v>
      </c>
      <c r="J47" s="53">
        <v>0</v>
      </c>
      <c r="K47" s="53">
        <v>164</v>
      </c>
      <c r="L47" s="3">
        <v>167</v>
      </c>
      <c r="M47" s="142">
        <v>0</v>
      </c>
    </row>
    <row r="48" spans="2:14" x14ac:dyDescent="0.25">
      <c r="B48" s="55"/>
      <c r="E48" s="56"/>
      <c r="F48" s="56"/>
      <c r="G48" s="5" t="s">
        <v>17</v>
      </c>
      <c r="H48" s="175">
        <f t="shared" ref="H48:M48" si="1">SUM(H23:H47)</f>
        <v>5873</v>
      </c>
      <c r="I48" s="175">
        <f t="shared" si="1"/>
        <v>5732</v>
      </c>
      <c r="J48" s="175">
        <f t="shared" si="1"/>
        <v>452</v>
      </c>
      <c r="K48" s="175">
        <f t="shared" si="1"/>
        <v>5705</v>
      </c>
      <c r="L48" s="175">
        <f t="shared" si="1"/>
        <v>5702</v>
      </c>
      <c r="M48" s="175">
        <f t="shared" si="1"/>
        <v>257</v>
      </c>
    </row>
  </sheetData>
  <mergeCells count="30">
    <mergeCell ref="K18:M19"/>
    <mergeCell ref="C43:D43"/>
    <mergeCell ref="C44:D44"/>
    <mergeCell ref="C45:D45"/>
    <mergeCell ref="C46:D46"/>
    <mergeCell ref="C30:D30"/>
    <mergeCell ref="C24:D24"/>
    <mergeCell ref="C25:D25"/>
    <mergeCell ref="C26:D26"/>
    <mergeCell ref="C27:D27"/>
    <mergeCell ref="C28:D28"/>
    <mergeCell ref="C29:D29"/>
    <mergeCell ref="C47:D47"/>
    <mergeCell ref="C42:D42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B21:B22"/>
    <mergeCell ref="C21:D22"/>
    <mergeCell ref="E21:G21"/>
    <mergeCell ref="H21:M21"/>
    <mergeCell ref="C23:D23"/>
  </mergeCells>
  <hyperlinks>
    <hyperlink ref="K18:M19" r:id="rId1" display="Click here for N.C. A&amp;T Strategic Plan" xr:uid="{7A9BF7B9-4190-4CB7-ABA3-6BB4A2749165}"/>
  </hyperlinks>
  <pageMargins left="0.7" right="0.7" top="0.75" bottom="0.75" header="0.3" footer="0.3"/>
  <pageSetup scale="70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CFDEF-5E51-48B2-948C-E5FB09EB0278}">
  <dimension ref="A1:H48"/>
  <sheetViews>
    <sheetView showGridLines="0" workbookViewId="0">
      <selection activeCell="I10" sqref="I10"/>
    </sheetView>
  </sheetViews>
  <sheetFormatPr defaultColWidth="8.85546875" defaultRowHeight="13.5" x14ac:dyDescent="0.25"/>
  <cols>
    <col min="1" max="1" width="2" style="1" customWidth="1"/>
    <col min="2" max="2" width="38.7109375" style="67" customWidth="1"/>
    <col min="3" max="3" width="43.140625" style="1" customWidth="1"/>
    <col min="4" max="5" width="11.7109375" style="9" customWidth="1"/>
    <col min="6" max="6" width="38.42578125" style="1" customWidth="1"/>
    <col min="7" max="16384" width="8.85546875" style="1"/>
  </cols>
  <sheetData>
    <row r="1" spans="1:8" x14ac:dyDescent="0.25">
      <c r="A1" s="20" t="str">
        <f>Demographics!A1</f>
        <v>EXHIBIT C:  CURRENT SITE DATA</v>
      </c>
      <c r="C1" s="121"/>
      <c r="D1" s="131"/>
      <c r="E1" s="131"/>
      <c r="F1" s="121"/>
    </row>
    <row r="2" spans="1:8" x14ac:dyDescent="0.25">
      <c r="A2" s="2" t="str">
        <f>Demographics!A2</f>
        <v>North Carolina Agricultural &amp; Technical State University (N.C. A&amp;T)</v>
      </c>
    </row>
    <row r="3" spans="1:8" x14ac:dyDescent="0.25">
      <c r="A3" s="2" t="s">
        <v>311</v>
      </c>
      <c r="C3" s="74"/>
    </row>
    <row r="4" spans="1:8" x14ac:dyDescent="0.25">
      <c r="B4" s="19"/>
      <c r="C4" s="14" t="s">
        <v>312</v>
      </c>
    </row>
    <row r="5" spans="1:8" x14ac:dyDescent="0.25">
      <c r="C5" s="14" t="s">
        <v>313</v>
      </c>
    </row>
    <row r="6" spans="1:8" ht="4.5" customHeight="1" x14ac:dyDescent="0.25"/>
    <row r="7" spans="1:8" x14ac:dyDescent="0.25">
      <c r="B7" s="193" t="s">
        <v>314</v>
      </c>
      <c r="C7" s="248" t="s">
        <v>315</v>
      </c>
      <c r="D7" s="249" t="s">
        <v>316</v>
      </c>
      <c r="E7" s="249"/>
      <c r="F7" s="248" t="s">
        <v>317</v>
      </c>
    </row>
    <row r="8" spans="1:8" ht="40.5" x14ac:dyDescent="0.25">
      <c r="B8" s="193"/>
      <c r="C8" s="248"/>
      <c r="D8" s="47" t="s">
        <v>318</v>
      </c>
      <c r="E8" s="47" t="s">
        <v>319</v>
      </c>
      <c r="F8" s="248"/>
    </row>
    <row r="9" spans="1:8" x14ac:dyDescent="0.25">
      <c r="B9" s="250" t="s">
        <v>320</v>
      </c>
      <c r="C9" s="79" t="s">
        <v>321</v>
      </c>
      <c r="D9" s="129" t="s">
        <v>322</v>
      </c>
      <c r="E9" s="6" t="s">
        <v>322</v>
      </c>
      <c r="F9" s="79"/>
    </row>
    <row r="10" spans="1:8" ht="27" x14ac:dyDescent="0.25">
      <c r="B10" s="250"/>
      <c r="C10" s="79" t="s">
        <v>323</v>
      </c>
      <c r="D10" s="129" t="s">
        <v>322</v>
      </c>
      <c r="E10" s="6" t="s">
        <v>322</v>
      </c>
      <c r="F10" s="79"/>
      <c r="H10" s="7"/>
    </row>
    <row r="11" spans="1:8" x14ac:dyDescent="0.25">
      <c r="B11" s="250"/>
      <c r="C11" s="79" t="s">
        <v>324</v>
      </c>
      <c r="D11" s="129" t="s">
        <v>322</v>
      </c>
      <c r="E11" s="6" t="s">
        <v>322</v>
      </c>
      <c r="F11" s="79"/>
      <c r="H11" s="7"/>
    </row>
    <row r="12" spans="1:8" x14ac:dyDescent="0.25">
      <c r="B12" s="250"/>
      <c r="C12" s="79" t="s">
        <v>325</v>
      </c>
      <c r="D12" s="129" t="s">
        <v>326</v>
      </c>
      <c r="E12" s="6" t="s">
        <v>327</v>
      </c>
      <c r="F12" s="79"/>
      <c r="H12" s="7"/>
    </row>
    <row r="13" spans="1:8" ht="30" customHeight="1" x14ac:dyDescent="0.25">
      <c r="B13" s="246" t="s">
        <v>328</v>
      </c>
      <c r="C13" s="132" t="s">
        <v>329</v>
      </c>
      <c r="D13" s="6" t="s">
        <v>322</v>
      </c>
      <c r="E13" s="6" t="s">
        <v>322</v>
      </c>
      <c r="F13" s="79"/>
      <c r="H13" s="7"/>
    </row>
    <row r="14" spans="1:8" ht="15" customHeight="1" x14ac:dyDescent="0.25">
      <c r="B14" s="247"/>
      <c r="C14" s="79" t="s">
        <v>330</v>
      </c>
      <c r="D14" s="6" t="s">
        <v>322</v>
      </c>
      <c r="E14" s="6" t="s">
        <v>322</v>
      </c>
      <c r="F14" s="79"/>
    </row>
    <row r="15" spans="1:8" ht="30" customHeight="1" x14ac:dyDescent="0.25">
      <c r="B15" s="251" t="s">
        <v>331</v>
      </c>
      <c r="C15" s="79" t="s">
        <v>329</v>
      </c>
      <c r="D15" s="6" t="s">
        <v>322</v>
      </c>
      <c r="E15" s="6" t="s">
        <v>322</v>
      </c>
      <c r="F15" s="79"/>
    </row>
    <row r="16" spans="1:8" ht="15" customHeight="1" x14ac:dyDescent="0.25">
      <c r="B16" s="247"/>
      <c r="C16" s="79" t="s">
        <v>330</v>
      </c>
      <c r="D16" s="6" t="s">
        <v>322</v>
      </c>
      <c r="E16" s="6" t="s">
        <v>322</v>
      </c>
      <c r="F16" s="79"/>
    </row>
    <row r="17" spans="2:6" ht="27" x14ac:dyDescent="0.25">
      <c r="B17" s="94" t="s">
        <v>332</v>
      </c>
      <c r="C17" s="79" t="s">
        <v>333</v>
      </c>
      <c r="D17" s="6" t="s">
        <v>322</v>
      </c>
      <c r="E17" s="6" t="s">
        <v>322</v>
      </c>
      <c r="F17" s="79"/>
    </row>
    <row r="18" spans="2:6" ht="27" x14ac:dyDescent="0.25">
      <c r="B18" s="94" t="s">
        <v>334</v>
      </c>
      <c r="C18" s="79" t="s">
        <v>335</v>
      </c>
      <c r="D18" s="6" t="s">
        <v>322</v>
      </c>
      <c r="E18" s="6" t="s">
        <v>322</v>
      </c>
      <c r="F18" s="79"/>
    </row>
    <row r="19" spans="2:6" ht="27" x14ac:dyDescent="0.25">
      <c r="B19" s="250" t="s">
        <v>336</v>
      </c>
      <c r="C19" s="79" t="s">
        <v>337</v>
      </c>
      <c r="D19" s="6" t="s">
        <v>322</v>
      </c>
      <c r="E19" s="6" t="s">
        <v>322</v>
      </c>
      <c r="F19" s="79"/>
    </row>
    <row r="20" spans="2:6" ht="27" x14ac:dyDescent="0.25">
      <c r="B20" s="250"/>
      <c r="C20" s="79" t="s">
        <v>338</v>
      </c>
      <c r="D20" s="6" t="s">
        <v>327</v>
      </c>
      <c r="E20" s="6" t="s">
        <v>327</v>
      </c>
      <c r="F20" s="79"/>
    </row>
    <row r="21" spans="2:6" ht="40.5" x14ac:dyDescent="0.25">
      <c r="B21" s="250" t="s">
        <v>339</v>
      </c>
      <c r="C21" s="79" t="s">
        <v>329</v>
      </c>
      <c r="D21" s="6" t="s">
        <v>322</v>
      </c>
      <c r="E21" s="6" t="s">
        <v>322</v>
      </c>
      <c r="F21" s="94" t="s">
        <v>340</v>
      </c>
    </row>
    <row r="22" spans="2:6" x14ac:dyDescent="0.25">
      <c r="B22" s="250"/>
      <c r="C22" s="79" t="s">
        <v>341</v>
      </c>
      <c r="D22" s="6" t="s">
        <v>322</v>
      </c>
      <c r="E22" s="6" t="s">
        <v>322</v>
      </c>
      <c r="F22" s="79" t="s">
        <v>342</v>
      </c>
    </row>
    <row r="23" spans="2:6" x14ac:dyDescent="0.25">
      <c r="B23" s="250"/>
      <c r="C23" s="79" t="s">
        <v>343</v>
      </c>
      <c r="D23" s="6" t="s">
        <v>322</v>
      </c>
      <c r="E23" s="6" t="s">
        <v>322</v>
      </c>
      <c r="F23" s="79"/>
    </row>
    <row r="24" spans="2:6" ht="40.5" x14ac:dyDescent="0.25">
      <c r="B24" s="250"/>
      <c r="C24" s="79" t="s">
        <v>344</v>
      </c>
      <c r="D24" s="6" t="s">
        <v>322</v>
      </c>
      <c r="E24" s="6" t="s">
        <v>322</v>
      </c>
      <c r="F24" s="79" t="s">
        <v>345</v>
      </c>
    </row>
    <row r="25" spans="2:6" x14ac:dyDescent="0.25">
      <c r="B25" s="250"/>
      <c r="C25" s="79" t="s">
        <v>346</v>
      </c>
      <c r="D25" s="6" t="s">
        <v>326</v>
      </c>
      <c r="E25" s="6" t="s">
        <v>322</v>
      </c>
      <c r="F25" s="79"/>
    </row>
    <row r="26" spans="2:6" x14ac:dyDescent="0.25">
      <c r="B26" s="250" t="s">
        <v>347</v>
      </c>
      <c r="C26" s="79" t="s">
        <v>348</v>
      </c>
      <c r="D26" s="6" t="s">
        <v>322</v>
      </c>
      <c r="E26" s="6" t="s">
        <v>322</v>
      </c>
      <c r="F26" s="79"/>
    </row>
    <row r="27" spans="2:6" x14ac:dyDescent="0.25">
      <c r="B27" s="250"/>
      <c r="C27" s="79" t="s">
        <v>349</v>
      </c>
      <c r="D27" s="6" t="s">
        <v>322</v>
      </c>
      <c r="E27" s="6" t="s">
        <v>322</v>
      </c>
      <c r="F27" s="79" t="s">
        <v>350</v>
      </c>
    </row>
    <row r="28" spans="2:6" ht="27" x14ac:dyDescent="0.25">
      <c r="B28" s="250" t="s">
        <v>351</v>
      </c>
      <c r="C28" s="79" t="s">
        <v>352</v>
      </c>
      <c r="D28" s="6" t="s">
        <v>322</v>
      </c>
      <c r="E28" s="6" t="s">
        <v>322</v>
      </c>
      <c r="F28" s="79" t="s">
        <v>353</v>
      </c>
    </row>
    <row r="29" spans="2:6" ht="27" x14ac:dyDescent="0.25">
      <c r="B29" s="250"/>
      <c r="C29" s="79" t="s">
        <v>354</v>
      </c>
      <c r="D29" s="6" t="s">
        <v>327</v>
      </c>
      <c r="E29" s="6" t="s">
        <v>327</v>
      </c>
      <c r="F29" s="79"/>
    </row>
    <row r="30" spans="2:6" ht="40.5" x14ac:dyDescent="0.25">
      <c r="B30" s="94" t="s">
        <v>355</v>
      </c>
      <c r="C30" s="79" t="s">
        <v>356</v>
      </c>
      <c r="D30" s="6" t="s">
        <v>327</v>
      </c>
      <c r="E30" s="6" t="s">
        <v>327</v>
      </c>
      <c r="F30" s="94" t="s">
        <v>357</v>
      </c>
    </row>
    <row r="31" spans="2:6" x14ac:dyDescent="0.25">
      <c r="B31" s="94" t="s">
        <v>358</v>
      </c>
      <c r="C31" s="79" t="s">
        <v>359</v>
      </c>
      <c r="D31" s="6" t="s">
        <v>322</v>
      </c>
      <c r="E31" s="6" t="s">
        <v>322</v>
      </c>
      <c r="F31" s="79"/>
    </row>
    <row r="32" spans="2:6" x14ac:dyDescent="0.25">
      <c r="B32" s="94" t="s">
        <v>360</v>
      </c>
      <c r="C32" s="79" t="s">
        <v>361</v>
      </c>
      <c r="D32" s="6" t="s">
        <v>322</v>
      </c>
      <c r="E32" s="6" t="s">
        <v>322</v>
      </c>
      <c r="F32" s="79"/>
    </row>
    <row r="33" spans="2:6" ht="27" x14ac:dyDescent="0.25">
      <c r="B33" s="250" t="s">
        <v>362</v>
      </c>
      <c r="C33" s="79" t="s">
        <v>363</v>
      </c>
      <c r="D33" s="6" t="s">
        <v>322</v>
      </c>
      <c r="E33" s="6" t="s">
        <v>322</v>
      </c>
      <c r="F33" s="79"/>
    </row>
    <row r="34" spans="2:6" ht="27" x14ac:dyDescent="0.25">
      <c r="B34" s="250"/>
      <c r="C34" s="79" t="s">
        <v>364</v>
      </c>
      <c r="D34" s="6" t="s">
        <v>327</v>
      </c>
      <c r="E34" s="6" t="s">
        <v>327</v>
      </c>
      <c r="F34" s="79"/>
    </row>
    <row r="35" spans="2:6" ht="27" x14ac:dyDescent="0.25">
      <c r="B35" s="250"/>
      <c r="C35" s="79" t="s">
        <v>365</v>
      </c>
      <c r="D35" s="6" t="s">
        <v>327</v>
      </c>
      <c r="E35" s="6" t="s">
        <v>327</v>
      </c>
      <c r="F35" s="79"/>
    </row>
    <row r="36" spans="2:6" ht="40.5" x14ac:dyDescent="0.25">
      <c r="B36" s="250" t="s">
        <v>366</v>
      </c>
      <c r="C36" s="79" t="s">
        <v>367</v>
      </c>
      <c r="D36" s="6" t="s">
        <v>322</v>
      </c>
      <c r="E36" s="6" t="s">
        <v>322</v>
      </c>
      <c r="F36" s="79" t="s">
        <v>368</v>
      </c>
    </row>
    <row r="37" spans="2:6" ht="27" x14ac:dyDescent="0.25">
      <c r="B37" s="250"/>
      <c r="C37" s="79" t="s">
        <v>369</v>
      </c>
      <c r="D37" s="6" t="s">
        <v>327</v>
      </c>
      <c r="E37" s="6" t="s">
        <v>327</v>
      </c>
      <c r="F37" s="79"/>
    </row>
    <row r="38" spans="2:6" ht="40.5" x14ac:dyDescent="0.25">
      <c r="B38" s="251" t="s">
        <v>370</v>
      </c>
      <c r="C38" s="79" t="s">
        <v>371</v>
      </c>
      <c r="D38" s="6" t="s">
        <v>322</v>
      </c>
      <c r="E38" s="6" t="s">
        <v>322</v>
      </c>
      <c r="F38" s="94" t="s">
        <v>372</v>
      </c>
    </row>
    <row r="39" spans="2:6" x14ac:dyDescent="0.25">
      <c r="B39" s="247"/>
      <c r="C39" s="79" t="s">
        <v>361</v>
      </c>
      <c r="D39" s="6" t="s">
        <v>322</v>
      </c>
      <c r="E39" s="6" t="s">
        <v>322</v>
      </c>
      <c r="F39" s="79"/>
    </row>
    <row r="40" spans="2:6" x14ac:dyDescent="0.25">
      <c r="B40" s="250" t="s">
        <v>373</v>
      </c>
      <c r="C40" s="79" t="s">
        <v>374</v>
      </c>
      <c r="D40" s="6" t="s">
        <v>327</v>
      </c>
      <c r="E40" s="6" t="s">
        <v>327</v>
      </c>
      <c r="F40" s="79"/>
    </row>
    <row r="41" spans="2:6" ht="27" x14ac:dyDescent="0.25">
      <c r="B41" s="250"/>
      <c r="C41" s="79" t="s">
        <v>375</v>
      </c>
      <c r="D41" s="6" t="s">
        <v>327</v>
      </c>
      <c r="E41" s="6" t="s">
        <v>327</v>
      </c>
      <c r="F41" s="79"/>
    </row>
    <row r="42" spans="2:6" ht="27" x14ac:dyDescent="0.25">
      <c r="B42" s="250"/>
      <c r="C42" s="79" t="s">
        <v>376</v>
      </c>
      <c r="D42" s="6" t="s">
        <v>327</v>
      </c>
      <c r="E42" s="6" t="s">
        <v>327</v>
      </c>
      <c r="F42" s="79"/>
    </row>
    <row r="43" spans="2:6" x14ac:dyDescent="0.25">
      <c r="B43" s="250"/>
      <c r="C43" s="79" t="s">
        <v>377</v>
      </c>
      <c r="D43" s="6" t="s">
        <v>327</v>
      </c>
      <c r="E43" s="6" t="s">
        <v>327</v>
      </c>
      <c r="F43" s="79"/>
    </row>
    <row r="44" spans="2:6" x14ac:dyDescent="0.25">
      <c r="B44" s="69"/>
      <c r="C44" s="70"/>
    </row>
    <row r="45" spans="2:6" x14ac:dyDescent="0.25">
      <c r="B45" s="69"/>
      <c r="C45" s="70"/>
    </row>
    <row r="46" spans="2:6" x14ac:dyDescent="0.25">
      <c r="B46" s="69"/>
      <c r="C46" s="70"/>
    </row>
    <row r="47" spans="2:6" x14ac:dyDescent="0.25">
      <c r="B47" s="69"/>
      <c r="C47" s="70"/>
    </row>
    <row r="48" spans="2:6" x14ac:dyDescent="0.25">
      <c r="B48" s="69"/>
      <c r="C48" s="70"/>
    </row>
  </sheetData>
  <mergeCells count="15">
    <mergeCell ref="B36:B37"/>
    <mergeCell ref="B38:B39"/>
    <mergeCell ref="B40:B43"/>
    <mergeCell ref="B15:B16"/>
    <mergeCell ref="B19:B20"/>
    <mergeCell ref="B21:B25"/>
    <mergeCell ref="B26:B27"/>
    <mergeCell ref="B28:B29"/>
    <mergeCell ref="B33:B35"/>
    <mergeCell ref="B13:B14"/>
    <mergeCell ref="B7:B8"/>
    <mergeCell ref="C7:C8"/>
    <mergeCell ref="D7:E7"/>
    <mergeCell ref="F7:F8"/>
    <mergeCell ref="B9:B12"/>
  </mergeCells>
  <pageMargins left="0.7" right="0.7" top="0.75" bottom="0.75" header="0.3" footer="0.3"/>
  <pageSetup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FD510-6FEE-4D22-BC1C-7DB43EF759F9}">
  <dimension ref="A1:L28"/>
  <sheetViews>
    <sheetView showGridLines="0" workbookViewId="0">
      <selection activeCell="J10" sqref="J10"/>
    </sheetView>
  </sheetViews>
  <sheetFormatPr defaultColWidth="8.7109375" defaultRowHeight="13.5" x14ac:dyDescent="0.25"/>
  <cols>
    <col min="1" max="1" width="3.5703125" style="1" customWidth="1"/>
    <col min="2" max="2" width="43" style="2" customWidth="1"/>
    <col min="3" max="3" width="16" style="1" customWidth="1"/>
    <col min="4" max="4" width="15.7109375" style="1" customWidth="1"/>
    <col min="5" max="5" width="16" style="1" customWidth="1"/>
    <col min="6" max="6" width="17.85546875" style="1" customWidth="1"/>
    <col min="7" max="7" width="16.42578125" style="1" customWidth="1"/>
    <col min="8" max="8" width="15" style="1" customWidth="1"/>
    <col min="9" max="12" width="13.7109375" style="1" customWidth="1"/>
    <col min="13" max="16384" width="8.7109375" style="1"/>
  </cols>
  <sheetData>
    <row r="1" spans="1:12" x14ac:dyDescent="0.25">
      <c r="A1" s="20" t="str">
        <f>Demographics!A1</f>
        <v>EXHIBIT C:  CURRENT SITE DATA</v>
      </c>
    </row>
    <row r="2" spans="1:12" x14ac:dyDescent="0.25">
      <c r="A2" s="2" t="str">
        <f>Demographics!A2</f>
        <v>North Carolina Agricultural &amp; Technical State University (N.C. A&amp;T)</v>
      </c>
    </row>
    <row r="3" spans="1:12" x14ac:dyDescent="0.25">
      <c r="A3" s="2" t="s">
        <v>378</v>
      </c>
    </row>
    <row r="4" spans="1:12" x14ac:dyDescent="0.25">
      <c r="A4" s="2"/>
    </row>
    <row r="6" spans="1:12" x14ac:dyDescent="0.25">
      <c r="B6" s="2" t="s">
        <v>379</v>
      </c>
    </row>
    <row r="7" spans="1:12" ht="54" x14ac:dyDescent="0.25">
      <c r="B7" s="90" t="s">
        <v>380</v>
      </c>
      <c r="C7" s="90" t="s">
        <v>381</v>
      </c>
      <c r="D7" s="90" t="s">
        <v>382</v>
      </c>
      <c r="E7" s="90" t="s">
        <v>383</v>
      </c>
      <c r="G7" s="35"/>
      <c r="I7" s="35"/>
      <c r="K7" s="35"/>
      <c r="L7" s="35"/>
    </row>
    <row r="8" spans="1:12" x14ac:dyDescent="0.25">
      <c r="B8" s="3" t="s">
        <v>384</v>
      </c>
      <c r="C8" s="3">
        <v>7</v>
      </c>
      <c r="D8" s="174">
        <v>149297.84</v>
      </c>
      <c r="E8" s="174">
        <v>146538.53</v>
      </c>
    </row>
    <row r="10" spans="1:12" x14ac:dyDescent="0.25">
      <c r="B10" s="2" t="s">
        <v>385</v>
      </c>
    </row>
    <row r="11" spans="1:12" x14ac:dyDescent="0.25">
      <c r="C11" s="254" t="s">
        <v>386</v>
      </c>
      <c r="D11" s="255"/>
      <c r="E11" s="256"/>
      <c r="F11" s="254" t="s">
        <v>387</v>
      </c>
      <c r="G11" s="255"/>
      <c r="H11" s="255"/>
    </row>
    <row r="12" spans="1:12" ht="67.5" x14ac:dyDescent="0.25">
      <c r="B12" s="90" t="s">
        <v>388</v>
      </c>
      <c r="C12" s="90" t="s">
        <v>389</v>
      </c>
      <c r="D12" s="90" t="s">
        <v>390</v>
      </c>
      <c r="E12" s="90" t="s">
        <v>391</v>
      </c>
      <c r="F12" s="171" t="s">
        <v>389</v>
      </c>
      <c r="G12" s="171" t="s">
        <v>390</v>
      </c>
      <c r="H12" s="171" t="s">
        <v>391</v>
      </c>
      <c r="J12" s="22"/>
    </row>
    <row r="13" spans="1:12" x14ac:dyDescent="0.25">
      <c r="B13" s="3" t="s">
        <v>392</v>
      </c>
      <c r="C13" s="3">
        <v>116</v>
      </c>
      <c r="D13" s="3">
        <v>100</v>
      </c>
      <c r="E13" s="172">
        <v>17</v>
      </c>
      <c r="F13" s="3">
        <v>118</v>
      </c>
      <c r="G13" s="3">
        <v>100</v>
      </c>
      <c r="H13" s="172">
        <v>17</v>
      </c>
      <c r="J13" s="9"/>
    </row>
    <row r="14" spans="1:12" x14ac:dyDescent="0.25">
      <c r="B14" s="3" t="s">
        <v>304</v>
      </c>
      <c r="C14" s="3">
        <v>14</v>
      </c>
      <c r="D14" s="3">
        <v>20</v>
      </c>
      <c r="E14" s="172">
        <v>16.75</v>
      </c>
      <c r="F14" s="3">
        <v>21</v>
      </c>
      <c r="G14" s="3">
        <v>20</v>
      </c>
      <c r="H14" s="172">
        <v>15.75</v>
      </c>
    </row>
    <row r="15" spans="1:12" x14ac:dyDescent="0.25">
      <c r="B15" s="3" t="s">
        <v>305</v>
      </c>
      <c r="C15" s="3">
        <v>13</v>
      </c>
      <c r="D15" s="3">
        <v>25</v>
      </c>
      <c r="E15" s="172">
        <v>16.75</v>
      </c>
      <c r="F15" s="3">
        <v>12</v>
      </c>
      <c r="G15" s="3">
        <v>26</v>
      </c>
      <c r="H15" s="172">
        <v>15.75</v>
      </c>
    </row>
    <row r="17" spans="2:6" x14ac:dyDescent="0.25">
      <c r="B17" s="2" t="s">
        <v>393</v>
      </c>
    </row>
    <row r="18" spans="2:6" ht="40.5" x14ac:dyDescent="0.25">
      <c r="B18" s="90" t="s">
        <v>394</v>
      </c>
      <c r="C18" s="90" t="s">
        <v>395</v>
      </c>
      <c r="D18" s="90" t="s">
        <v>396</v>
      </c>
      <c r="E18" s="90" t="s">
        <v>397</v>
      </c>
      <c r="F18" s="90" t="s">
        <v>398</v>
      </c>
    </row>
    <row r="19" spans="2:6" x14ac:dyDescent="0.25">
      <c r="B19" s="3" t="s">
        <v>384</v>
      </c>
      <c r="C19" s="3">
        <v>110</v>
      </c>
      <c r="D19" s="3">
        <v>110</v>
      </c>
      <c r="E19" s="3">
        <v>110</v>
      </c>
      <c r="F19" s="3">
        <v>110</v>
      </c>
    </row>
    <row r="20" spans="2:6" x14ac:dyDescent="0.25">
      <c r="B20" s="3" t="s">
        <v>399</v>
      </c>
      <c r="C20" s="129" t="s">
        <v>13</v>
      </c>
      <c r="D20" s="129" t="s">
        <v>13</v>
      </c>
      <c r="E20" s="129" t="s">
        <v>13</v>
      </c>
      <c r="F20" s="3">
        <v>260</v>
      </c>
    </row>
    <row r="21" spans="2:6" ht="14.25" customHeight="1" x14ac:dyDescent="0.25"/>
    <row r="22" spans="2:6" ht="85.15" customHeight="1" x14ac:dyDescent="0.25">
      <c r="B22" s="252" t="s">
        <v>400</v>
      </c>
      <c r="C22" s="253"/>
    </row>
    <row r="24" spans="2:6" ht="15" customHeight="1" x14ac:dyDescent="0.25">
      <c r="B24" s="1"/>
    </row>
    <row r="25" spans="2:6" x14ac:dyDescent="0.25">
      <c r="B25" s="1"/>
    </row>
    <row r="26" spans="2:6" x14ac:dyDescent="0.25">
      <c r="B26" s="1"/>
    </row>
    <row r="27" spans="2:6" x14ac:dyDescent="0.25">
      <c r="B27" s="1"/>
    </row>
    <row r="28" spans="2:6" x14ac:dyDescent="0.25">
      <c r="B28" s="1"/>
    </row>
  </sheetData>
  <mergeCells count="3">
    <mergeCell ref="B22:C22"/>
    <mergeCell ref="C11:E11"/>
    <mergeCell ref="F11:H1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9"/>
  <sheetViews>
    <sheetView showGridLines="0" workbookViewId="0">
      <selection activeCell="O22" sqref="O22"/>
    </sheetView>
  </sheetViews>
  <sheetFormatPr defaultColWidth="8.7109375" defaultRowHeight="13.5" x14ac:dyDescent="0.25"/>
  <cols>
    <col min="1" max="1" width="3.140625" style="1" customWidth="1"/>
    <col min="2" max="2" width="3.7109375" style="1" customWidth="1"/>
    <col min="3" max="11" width="8.7109375" style="1"/>
    <col min="12" max="12" width="10.7109375" style="1" customWidth="1"/>
    <col min="13" max="13" width="7.85546875" style="1" customWidth="1"/>
    <col min="14" max="16384" width="8.7109375" style="1"/>
  </cols>
  <sheetData>
    <row r="1" spans="1:13" x14ac:dyDescent="0.25">
      <c r="A1" s="20" t="str">
        <f>Demographics!A1</f>
        <v>EXHIBIT C:  CURRENT SITE DATA</v>
      </c>
      <c r="M1" s="1" t="s">
        <v>4</v>
      </c>
    </row>
    <row r="2" spans="1:13" x14ac:dyDescent="0.25">
      <c r="A2" s="2" t="str">
        <f>Demographics!A2</f>
        <v>North Carolina Agricultural &amp; Technical State University (N.C. A&amp;T)</v>
      </c>
    </row>
    <row r="3" spans="1:13" x14ac:dyDescent="0.25">
      <c r="A3" s="2" t="s">
        <v>401</v>
      </c>
    </row>
    <row r="4" spans="1:13" ht="14.25" thickBot="1" x14ac:dyDescent="0.3"/>
    <row r="5" spans="1:13" x14ac:dyDescent="0.25">
      <c r="B5" s="257" t="s">
        <v>402</v>
      </c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9"/>
    </row>
    <row r="6" spans="1:13" x14ac:dyDescent="0.25">
      <c r="B6" s="37" t="s">
        <v>403</v>
      </c>
      <c r="C6" s="38"/>
      <c r="D6" s="38"/>
      <c r="E6" s="38"/>
      <c r="F6" s="38"/>
      <c r="G6" s="38"/>
      <c r="H6" s="38"/>
      <c r="I6" s="38"/>
      <c r="J6" s="38"/>
      <c r="K6" s="38"/>
      <c r="L6" s="38"/>
      <c r="M6" s="39"/>
    </row>
    <row r="7" spans="1:13" x14ac:dyDescent="0.25">
      <c r="B7" s="260" t="s">
        <v>404</v>
      </c>
      <c r="C7" s="261"/>
      <c r="D7" s="261"/>
      <c r="E7" s="261"/>
      <c r="F7" s="261"/>
      <c r="G7" s="261"/>
      <c r="H7" s="261"/>
      <c r="I7" s="261"/>
      <c r="J7" s="261"/>
      <c r="K7" s="261"/>
      <c r="L7" s="261"/>
      <c r="M7" s="262"/>
    </row>
    <row r="8" spans="1:13" x14ac:dyDescent="0.25">
      <c r="B8" s="260" t="s">
        <v>405</v>
      </c>
      <c r="C8" s="261"/>
      <c r="D8" s="261"/>
      <c r="E8" s="261"/>
      <c r="F8" s="261"/>
      <c r="G8" s="261"/>
      <c r="H8" s="261"/>
      <c r="I8" s="261"/>
      <c r="J8" s="261"/>
      <c r="K8" s="261"/>
      <c r="L8" s="261"/>
      <c r="M8" s="262"/>
    </row>
    <row r="9" spans="1:13" x14ac:dyDescent="0.25">
      <c r="B9" s="260" t="s">
        <v>406</v>
      </c>
      <c r="C9" s="261"/>
      <c r="D9" s="261"/>
      <c r="E9" s="261"/>
      <c r="F9" s="261"/>
      <c r="G9" s="261"/>
      <c r="H9" s="261"/>
      <c r="I9" s="261"/>
      <c r="J9" s="261"/>
      <c r="K9" s="261"/>
      <c r="L9" s="261"/>
      <c r="M9" s="262"/>
    </row>
  </sheetData>
  <mergeCells count="4">
    <mergeCell ref="B5:M5"/>
    <mergeCell ref="B7:M7"/>
    <mergeCell ref="B8:M8"/>
    <mergeCell ref="B9:M9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3F28A-655B-4F99-884D-1E8904085C0E}">
  <dimension ref="A1:F17"/>
  <sheetViews>
    <sheetView showGridLines="0" workbookViewId="0">
      <selection activeCell="F13" sqref="F13"/>
    </sheetView>
  </sheetViews>
  <sheetFormatPr defaultColWidth="8.7109375" defaultRowHeight="13.5" x14ac:dyDescent="0.25"/>
  <cols>
    <col min="1" max="1" width="2.7109375" style="1" customWidth="1"/>
    <col min="2" max="2" width="45.28515625" style="1" customWidth="1"/>
    <col min="3" max="3" width="12.7109375" style="1" customWidth="1"/>
    <col min="4" max="4" width="24.5703125" style="1" customWidth="1"/>
    <col min="5" max="5" width="14.140625" style="1" customWidth="1"/>
    <col min="6" max="6" width="43.42578125" style="1" customWidth="1"/>
    <col min="7" max="7" width="21.42578125" style="1" customWidth="1"/>
    <col min="8" max="8" width="40.7109375" style="1" customWidth="1"/>
    <col min="9" max="16384" width="8.7109375" style="1"/>
  </cols>
  <sheetData>
    <row r="1" spans="1:6" x14ac:dyDescent="0.25">
      <c r="A1" s="20" t="str">
        <f>Demographics!A1</f>
        <v>EXHIBIT C:  CURRENT SITE DATA</v>
      </c>
      <c r="C1" s="121"/>
      <c r="D1" s="121"/>
      <c r="E1" s="121"/>
      <c r="F1" s="121"/>
    </row>
    <row r="2" spans="1:6" x14ac:dyDescent="0.25">
      <c r="A2" s="2" t="str">
        <f>Demographics!A2</f>
        <v>North Carolina Agricultural &amp; Technical State University (N.C. A&amp;T)</v>
      </c>
      <c r="D2" s="14" t="s">
        <v>407</v>
      </c>
    </row>
    <row r="3" spans="1:6" x14ac:dyDescent="0.25">
      <c r="A3" s="2" t="s">
        <v>408</v>
      </c>
      <c r="D3" s="14" t="s">
        <v>313</v>
      </c>
    </row>
    <row r="6" spans="1:6" ht="13.5" customHeight="1" x14ac:dyDescent="0.25">
      <c r="B6" s="248" t="s">
        <v>409</v>
      </c>
      <c r="C6" s="193" t="s">
        <v>410</v>
      </c>
      <c r="D6" s="248" t="s">
        <v>411</v>
      </c>
      <c r="E6" s="248"/>
      <c r="F6" s="263" t="s">
        <v>412</v>
      </c>
    </row>
    <row r="7" spans="1:6" ht="40.5" x14ac:dyDescent="0.25">
      <c r="B7" s="248"/>
      <c r="C7" s="193"/>
      <c r="D7" s="46" t="s">
        <v>413</v>
      </c>
      <c r="E7" s="47" t="s">
        <v>414</v>
      </c>
      <c r="F7" s="264"/>
    </row>
    <row r="8" spans="1:6" x14ac:dyDescent="0.25">
      <c r="B8" s="87" t="s">
        <v>415</v>
      </c>
      <c r="C8" s="88" t="s">
        <v>322</v>
      </c>
      <c r="D8" s="129"/>
      <c r="E8" s="6"/>
      <c r="F8" s="164"/>
    </row>
    <row r="9" spans="1:6" x14ac:dyDescent="0.25">
      <c r="B9" s="87" t="s">
        <v>416</v>
      </c>
      <c r="C9" s="88" t="s">
        <v>322</v>
      </c>
      <c r="D9" s="129"/>
      <c r="E9" s="6"/>
      <c r="F9" s="164" t="s">
        <v>417</v>
      </c>
    </row>
    <row r="10" spans="1:6" x14ac:dyDescent="0.25">
      <c r="B10" s="87" t="s">
        <v>418</v>
      </c>
      <c r="C10" s="88" t="s">
        <v>322</v>
      </c>
      <c r="D10" s="129"/>
      <c r="E10" s="6"/>
      <c r="F10" s="164" t="s">
        <v>417</v>
      </c>
    </row>
    <row r="11" spans="1:6" x14ac:dyDescent="0.25">
      <c r="B11" s="87" t="s">
        <v>419</v>
      </c>
      <c r="C11" s="88" t="s">
        <v>327</v>
      </c>
      <c r="D11" s="129" t="s">
        <v>420</v>
      </c>
      <c r="E11" s="6" t="s">
        <v>203</v>
      </c>
      <c r="F11" s="164"/>
    </row>
    <row r="12" spans="1:6" x14ac:dyDescent="0.25">
      <c r="B12" s="87" t="s">
        <v>421</v>
      </c>
      <c r="C12" s="88" t="s">
        <v>422</v>
      </c>
      <c r="D12" s="129"/>
      <c r="E12" s="6" t="s">
        <v>203</v>
      </c>
      <c r="F12" s="164"/>
    </row>
    <row r="13" spans="1:6" x14ac:dyDescent="0.25">
      <c r="B13" s="87" t="s">
        <v>423</v>
      </c>
      <c r="C13" s="88" t="s">
        <v>327</v>
      </c>
      <c r="D13" s="129" t="s">
        <v>424</v>
      </c>
      <c r="E13" s="6" t="s">
        <v>203</v>
      </c>
      <c r="F13" s="164"/>
    </row>
    <row r="14" spans="1:6" x14ac:dyDescent="0.25">
      <c r="B14" s="86" t="s">
        <v>425</v>
      </c>
      <c r="C14" s="89" t="s">
        <v>327</v>
      </c>
      <c r="D14" s="129"/>
      <c r="E14" s="6" t="s">
        <v>203</v>
      </c>
      <c r="F14" s="164"/>
    </row>
    <row r="15" spans="1:6" x14ac:dyDescent="0.25">
      <c r="B15" s="87" t="s">
        <v>426</v>
      </c>
      <c r="C15" s="88" t="s">
        <v>427</v>
      </c>
      <c r="D15" s="129" t="s">
        <v>428</v>
      </c>
      <c r="E15" s="6" t="s">
        <v>203</v>
      </c>
      <c r="F15" s="164" t="s">
        <v>429</v>
      </c>
    </row>
    <row r="16" spans="1:6" x14ac:dyDescent="0.25">
      <c r="B16" s="86" t="s">
        <v>430</v>
      </c>
      <c r="C16" s="89" t="s">
        <v>13</v>
      </c>
      <c r="D16" s="129"/>
      <c r="E16" s="6"/>
      <c r="F16" s="164"/>
    </row>
    <row r="17" spans="2:6" x14ac:dyDescent="0.25">
      <c r="B17" s="87" t="s">
        <v>431</v>
      </c>
      <c r="C17" s="88" t="s">
        <v>322</v>
      </c>
      <c r="D17" s="129"/>
      <c r="E17" s="6"/>
      <c r="F17" s="164"/>
    </row>
  </sheetData>
  <mergeCells count="4">
    <mergeCell ref="B6:B7"/>
    <mergeCell ref="C6:C7"/>
    <mergeCell ref="D6:E6"/>
    <mergeCell ref="F6:F7"/>
  </mergeCells>
  <pageMargins left="0.7" right="0.7" top="0.75" bottom="0.75" header="0.3" footer="0.3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5811A-EBE6-47EE-AA60-05C641160770}">
  <sheetPr>
    <pageSetUpPr fitToPage="1"/>
  </sheetPr>
  <dimension ref="A1:N77"/>
  <sheetViews>
    <sheetView showGridLines="0" zoomScaleNormal="100" workbookViewId="0">
      <selection activeCell="D13" sqref="D13"/>
    </sheetView>
  </sheetViews>
  <sheetFormatPr defaultColWidth="9.28515625" defaultRowHeight="13.5" customHeight="1" x14ac:dyDescent="0.25"/>
  <cols>
    <col min="1" max="1" width="2" style="1" customWidth="1"/>
    <col min="2" max="2" width="57.7109375" style="1" customWidth="1"/>
    <col min="3" max="3" width="10.85546875" style="1" customWidth="1"/>
    <col min="4" max="6" width="8.7109375" style="1" customWidth="1"/>
    <col min="7" max="7" width="40.7109375" style="1" customWidth="1"/>
    <col min="8" max="8" width="4.7109375" style="1" customWidth="1"/>
    <col min="9" max="9" width="57.7109375" style="1" customWidth="1"/>
    <col min="10" max="13" width="8.7109375" style="9" customWidth="1"/>
    <col min="14" max="14" width="40.7109375" style="1" customWidth="1"/>
    <col min="15" max="16384" width="9.28515625" style="1"/>
  </cols>
  <sheetData>
    <row r="1" spans="1:7" ht="13.5" customHeight="1" x14ac:dyDescent="0.25">
      <c r="A1" s="20" t="str">
        <f>Demographics!A1</f>
        <v>EXHIBIT C:  CURRENT SITE DATA</v>
      </c>
      <c r="D1" s="121"/>
      <c r="E1" s="121"/>
      <c r="F1" s="121"/>
      <c r="G1" s="121"/>
    </row>
    <row r="2" spans="1:7" ht="13.5" customHeight="1" x14ac:dyDescent="0.25">
      <c r="A2" s="2" t="str">
        <f>Demographics!A2</f>
        <v>North Carolina Agricultural &amp; Technical State University (N.C. A&amp;T)</v>
      </c>
    </row>
    <row r="3" spans="1:7" ht="13.5" customHeight="1" x14ac:dyDescent="0.25">
      <c r="A3" s="31" t="s">
        <v>432</v>
      </c>
    </row>
    <row r="4" spans="1:7" ht="13.5" customHeight="1" x14ac:dyDescent="0.25">
      <c r="F4" s="14"/>
    </row>
    <row r="5" spans="1:7" ht="13.5" customHeight="1" x14ac:dyDescent="0.25">
      <c r="B5" s="81" t="s">
        <v>433</v>
      </c>
      <c r="C5" s="80" t="s">
        <v>434</v>
      </c>
      <c r="D5" s="71"/>
      <c r="E5" s="71"/>
      <c r="F5" s="14"/>
    </row>
    <row r="6" spans="1:7" ht="13.5" customHeight="1" x14ac:dyDescent="0.25">
      <c r="B6" s="45" t="s">
        <v>435</v>
      </c>
      <c r="C6" s="14" t="s">
        <v>436</v>
      </c>
      <c r="D6" s="71"/>
      <c r="E6" s="71"/>
      <c r="F6" s="14"/>
    </row>
    <row r="7" spans="1:7" ht="13.5" customHeight="1" x14ac:dyDescent="0.25">
      <c r="B7" s="45" t="s">
        <v>437</v>
      </c>
      <c r="C7" s="14" t="s">
        <v>438</v>
      </c>
      <c r="D7" s="71"/>
      <c r="E7" s="71"/>
      <c r="F7" s="14"/>
    </row>
    <row r="8" spans="1:7" ht="13.5" customHeight="1" x14ac:dyDescent="0.25">
      <c r="B8" s="45" t="s">
        <v>439</v>
      </c>
      <c r="C8" s="14" t="s">
        <v>440</v>
      </c>
      <c r="E8" s="71"/>
      <c r="F8" s="14"/>
    </row>
    <row r="9" spans="1:7" ht="13.5" customHeight="1" x14ac:dyDescent="0.25">
      <c r="B9" s="45" t="s">
        <v>441</v>
      </c>
      <c r="C9" s="14" t="s">
        <v>442</v>
      </c>
      <c r="E9" s="71"/>
      <c r="F9" s="14"/>
    </row>
    <row r="10" spans="1:7" ht="13.5" customHeight="1" x14ac:dyDescent="0.25">
      <c r="B10" s="45" t="s">
        <v>443</v>
      </c>
      <c r="E10" s="15"/>
    </row>
    <row r="11" spans="1:7" ht="13.5" customHeight="1" x14ac:dyDescent="0.25">
      <c r="B11" s="45" t="s">
        <v>444</v>
      </c>
      <c r="C11" s="71"/>
      <c r="E11" s="71"/>
      <c r="F11" s="14"/>
    </row>
    <row r="12" spans="1:7" ht="13.5" customHeight="1" x14ac:dyDescent="0.25">
      <c r="B12" s="45" t="s">
        <v>445</v>
      </c>
      <c r="C12" s="71"/>
      <c r="D12" s="71"/>
      <c r="E12" s="71"/>
      <c r="F12" s="14"/>
    </row>
    <row r="13" spans="1:7" ht="13.5" customHeight="1" x14ac:dyDescent="0.25">
      <c r="B13" s="45" t="s">
        <v>446</v>
      </c>
      <c r="C13" s="71"/>
      <c r="D13" s="71"/>
      <c r="E13" s="71"/>
      <c r="F13" s="14"/>
    </row>
    <row r="14" spans="1:7" ht="13.5" customHeight="1" x14ac:dyDescent="0.25">
      <c r="B14" s="71"/>
      <c r="C14" s="71"/>
      <c r="D14" s="71"/>
      <c r="E14" s="71"/>
      <c r="F14" s="14"/>
    </row>
    <row r="15" spans="1:7" ht="13.5" customHeight="1" x14ac:dyDescent="0.25">
      <c r="B15" s="13" t="s">
        <v>447</v>
      </c>
      <c r="C15" s="71"/>
      <c r="D15" s="71"/>
      <c r="E15" s="71"/>
      <c r="F15" s="14"/>
    </row>
    <row r="16" spans="1:7" ht="13.5" customHeight="1" x14ac:dyDescent="0.25">
      <c r="B16" s="268" t="s">
        <v>448</v>
      </c>
      <c r="C16" s="270" t="s">
        <v>449</v>
      </c>
      <c r="D16" s="271"/>
      <c r="E16" s="271"/>
      <c r="F16" s="272"/>
      <c r="G16" s="268" t="s">
        <v>450</v>
      </c>
    </row>
    <row r="17" spans="2:14" ht="27" customHeight="1" x14ac:dyDescent="0.25">
      <c r="B17" s="269"/>
      <c r="C17" s="78" t="s">
        <v>322</v>
      </c>
      <c r="D17" s="78" t="s">
        <v>327</v>
      </c>
      <c r="E17" s="78" t="s">
        <v>451</v>
      </c>
      <c r="F17" s="78" t="s">
        <v>452</v>
      </c>
      <c r="G17" s="269"/>
    </row>
    <row r="18" spans="2:14" ht="13.5" customHeight="1" x14ac:dyDescent="0.25">
      <c r="B18" s="48" t="s">
        <v>453</v>
      </c>
      <c r="C18" s="94" t="s">
        <v>454</v>
      </c>
      <c r="D18" s="94" t="s">
        <v>455</v>
      </c>
      <c r="E18" s="94"/>
      <c r="F18" s="94"/>
      <c r="G18" s="83" t="s">
        <v>456</v>
      </c>
    </row>
    <row r="19" spans="2:14" ht="13.5" customHeight="1" x14ac:dyDescent="0.25">
      <c r="B19" s="71"/>
      <c r="C19" s="71"/>
      <c r="D19" s="71"/>
      <c r="E19" s="71"/>
      <c r="F19" s="14"/>
    </row>
    <row r="20" spans="2:14" ht="13.5" customHeight="1" x14ac:dyDescent="0.25">
      <c r="B20" s="71"/>
      <c r="C20" s="71"/>
      <c r="D20" s="71"/>
      <c r="E20" s="71"/>
      <c r="F20" s="14"/>
    </row>
    <row r="21" spans="2:14" ht="13.5" customHeight="1" x14ac:dyDescent="0.25">
      <c r="B21" s="268" t="s">
        <v>448</v>
      </c>
      <c r="C21" s="270" t="s">
        <v>449</v>
      </c>
      <c r="D21" s="271"/>
      <c r="E21" s="271"/>
      <c r="F21" s="272"/>
      <c r="G21" s="268" t="s">
        <v>450</v>
      </c>
      <c r="I21" s="268" t="s">
        <v>448</v>
      </c>
      <c r="J21" s="270" t="s">
        <v>457</v>
      </c>
      <c r="K21" s="271"/>
      <c r="L21" s="271"/>
      <c r="M21" s="272"/>
      <c r="N21" s="268" t="s">
        <v>450</v>
      </c>
    </row>
    <row r="22" spans="2:14" ht="27" customHeight="1" x14ac:dyDescent="0.25">
      <c r="B22" s="269"/>
      <c r="C22" s="78" t="s">
        <v>322</v>
      </c>
      <c r="D22" s="78" t="s">
        <v>327</v>
      </c>
      <c r="E22" s="78" t="s">
        <v>451</v>
      </c>
      <c r="F22" s="78" t="s">
        <v>452</v>
      </c>
      <c r="G22" s="269"/>
      <c r="I22" s="269"/>
      <c r="J22" s="78" t="s">
        <v>322</v>
      </c>
      <c r="K22" s="78" t="s">
        <v>327</v>
      </c>
      <c r="L22" s="78" t="s">
        <v>451</v>
      </c>
      <c r="M22" s="78" t="s">
        <v>452</v>
      </c>
      <c r="N22" s="269"/>
    </row>
    <row r="23" spans="2:14" ht="13.5" customHeight="1" x14ac:dyDescent="0.25">
      <c r="B23" s="265" t="s">
        <v>458</v>
      </c>
      <c r="C23" s="266"/>
      <c r="D23" s="266"/>
      <c r="E23" s="266"/>
      <c r="F23" s="266"/>
      <c r="G23" s="267"/>
      <c r="I23" s="273" t="s">
        <v>459</v>
      </c>
      <c r="J23" s="274"/>
      <c r="K23" s="274"/>
      <c r="L23" s="274"/>
      <c r="M23" s="274"/>
      <c r="N23" s="275"/>
    </row>
    <row r="24" spans="2:14" ht="13.5" customHeight="1" x14ac:dyDescent="0.25">
      <c r="B24" s="48" t="s">
        <v>460</v>
      </c>
      <c r="C24" s="94" t="s">
        <v>461</v>
      </c>
      <c r="D24" s="94"/>
      <c r="E24" s="94"/>
      <c r="F24" s="94"/>
      <c r="G24" s="83"/>
      <c r="I24" s="87" t="s">
        <v>415</v>
      </c>
      <c r="J24" s="82" t="s">
        <v>461</v>
      </c>
      <c r="K24" s="82"/>
      <c r="L24" s="82"/>
      <c r="M24" s="94"/>
      <c r="N24" s="83"/>
    </row>
    <row r="25" spans="2:14" ht="13.5" customHeight="1" x14ac:dyDescent="0.25">
      <c r="B25" s="48" t="s">
        <v>462</v>
      </c>
      <c r="C25" s="94" t="s">
        <v>461</v>
      </c>
      <c r="D25" s="94"/>
      <c r="E25" s="94"/>
      <c r="F25" s="94"/>
      <c r="G25" s="83"/>
      <c r="I25" s="87" t="s">
        <v>416</v>
      </c>
      <c r="J25" s="82" t="s">
        <v>461</v>
      </c>
      <c r="K25" s="82"/>
      <c r="L25" s="82"/>
      <c r="M25" s="94"/>
      <c r="N25" s="83"/>
    </row>
    <row r="26" spans="2:14" ht="13.5" customHeight="1" x14ac:dyDescent="0.25">
      <c r="B26" s="265" t="s">
        <v>463</v>
      </c>
      <c r="C26" s="266"/>
      <c r="D26" s="266"/>
      <c r="E26" s="266"/>
      <c r="F26" s="266"/>
      <c r="G26" s="267"/>
      <c r="I26" s="87" t="s">
        <v>418</v>
      </c>
      <c r="J26" s="82" t="s">
        <v>461</v>
      </c>
      <c r="K26" s="82"/>
      <c r="L26" s="82"/>
      <c r="M26" s="94"/>
      <c r="N26" s="83"/>
    </row>
    <row r="27" spans="2:14" ht="13.5" customHeight="1" x14ac:dyDescent="0.25">
      <c r="B27" s="48" t="s">
        <v>464</v>
      </c>
      <c r="C27" s="94" t="s">
        <v>461</v>
      </c>
      <c r="D27" s="94"/>
      <c r="E27" s="94"/>
      <c r="F27" s="94"/>
      <c r="G27" s="83"/>
      <c r="I27" s="87" t="s">
        <v>419</v>
      </c>
      <c r="J27" s="82"/>
      <c r="K27" s="82" t="s">
        <v>461</v>
      </c>
      <c r="L27" s="82"/>
      <c r="M27" s="94"/>
      <c r="N27" s="83"/>
    </row>
    <row r="28" spans="2:14" ht="13.5" customHeight="1" x14ac:dyDescent="0.25">
      <c r="B28" s="48" t="s">
        <v>465</v>
      </c>
      <c r="C28" s="94" t="s">
        <v>461</v>
      </c>
      <c r="D28" s="94"/>
      <c r="E28" s="94"/>
      <c r="F28" s="94"/>
      <c r="G28" s="83"/>
      <c r="I28" s="87" t="s">
        <v>421</v>
      </c>
      <c r="J28" s="82"/>
      <c r="K28" s="82" t="s">
        <v>461</v>
      </c>
      <c r="L28" s="82"/>
      <c r="M28" s="94"/>
      <c r="N28" s="83" t="s">
        <v>466</v>
      </c>
    </row>
    <row r="29" spans="2:14" ht="13.5" customHeight="1" x14ac:dyDescent="0.25">
      <c r="B29" s="48" t="s">
        <v>467</v>
      </c>
      <c r="C29" s="94" t="s">
        <v>461</v>
      </c>
      <c r="D29" s="94"/>
      <c r="E29" s="94"/>
      <c r="F29" s="94"/>
      <c r="G29" s="83"/>
      <c r="I29" s="87" t="s">
        <v>423</v>
      </c>
      <c r="J29" s="82"/>
      <c r="K29" s="82" t="s">
        <v>461</v>
      </c>
      <c r="L29" s="82"/>
      <c r="M29" s="94"/>
      <c r="N29" s="83"/>
    </row>
    <row r="30" spans="2:14" ht="13.5" customHeight="1" x14ac:dyDescent="0.25">
      <c r="B30" s="48" t="s">
        <v>468</v>
      </c>
      <c r="C30" s="94" t="s">
        <v>461</v>
      </c>
      <c r="D30" s="94"/>
      <c r="E30" s="94"/>
      <c r="F30" s="94"/>
      <c r="G30" s="83"/>
      <c r="I30" s="86" t="s">
        <v>425</v>
      </c>
      <c r="J30" s="82"/>
      <c r="K30" s="82" t="s">
        <v>461</v>
      </c>
      <c r="L30" s="82"/>
      <c r="M30" s="94"/>
      <c r="N30" s="83"/>
    </row>
    <row r="31" spans="2:14" ht="13.5" customHeight="1" x14ac:dyDescent="0.25">
      <c r="B31" s="265" t="s">
        <v>469</v>
      </c>
      <c r="C31" s="266"/>
      <c r="D31" s="266"/>
      <c r="E31" s="266"/>
      <c r="F31" s="266"/>
      <c r="G31" s="267"/>
      <c r="I31" s="87" t="s">
        <v>426</v>
      </c>
      <c r="J31" s="82"/>
      <c r="K31" s="82" t="s">
        <v>461</v>
      </c>
      <c r="L31" s="82"/>
      <c r="M31" s="94"/>
      <c r="N31" s="83"/>
    </row>
    <row r="32" spans="2:14" ht="13.5" customHeight="1" x14ac:dyDescent="0.25">
      <c r="B32" s="48" t="s">
        <v>470</v>
      </c>
      <c r="C32" s="94" t="s">
        <v>461</v>
      </c>
      <c r="D32" s="94"/>
      <c r="E32" s="94"/>
      <c r="F32" s="94"/>
      <c r="G32" s="83"/>
      <c r="I32" s="86" t="s">
        <v>430</v>
      </c>
      <c r="J32" s="82"/>
      <c r="K32" s="82"/>
      <c r="L32" s="82"/>
      <c r="M32" s="94"/>
      <c r="N32" s="83" t="s">
        <v>326</v>
      </c>
    </row>
    <row r="33" spans="2:14" ht="13.5" customHeight="1" x14ac:dyDescent="0.25">
      <c r="B33" s="48" t="s">
        <v>471</v>
      </c>
      <c r="C33" s="94" t="s">
        <v>461</v>
      </c>
      <c r="D33" s="94"/>
      <c r="E33" s="94"/>
      <c r="F33" s="94"/>
      <c r="G33" s="83"/>
      <c r="I33" s="87" t="s">
        <v>431</v>
      </c>
      <c r="J33" s="82" t="s">
        <v>461</v>
      </c>
      <c r="K33" s="82"/>
      <c r="L33" s="82"/>
      <c r="M33" s="94"/>
      <c r="N33" s="83"/>
    </row>
    <row r="34" spans="2:14" ht="13.5" customHeight="1" x14ac:dyDescent="0.25">
      <c r="B34" s="48" t="s">
        <v>472</v>
      </c>
      <c r="C34" s="94"/>
      <c r="D34" s="94" t="s">
        <v>461</v>
      </c>
      <c r="E34" s="94"/>
      <c r="F34" s="94"/>
      <c r="G34" s="83"/>
      <c r="I34" s="279" t="s">
        <v>473</v>
      </c>
      <c r="J34" s="280"/>
      <c r="K34" s="280"/>
      <c r="L34" s="280"/>
      <c r="M34" s="280"/>
      <c r="N34" s="281"/>
    </row>
    <row r="35" spans="2:14" ht="13.5" customHeight="1" x14ac:dyDescent="0.25">
      <c r="B35" s="48" t="s">
        <v>474</v>
      </c>
      <c r="C35" s="94" t="s">
        <v>461</v>
      </c>
      <c r="D35" s="94"/>
      <c r="E35" s="94"/>
      <c r="F35" s="94"/>
      <c r="G35" s="83"/>
      <c r="I35" s="48" t="s">
        <v>471</v>
      </c>
      <c r="J35" s="94" t="s">
        <v>461</v>
      </c>
      <c r="K35" s="94"/>
      <c r="L35" s="94"/>
      <c r="M35" s="94"/>
      <c r="N35" s="83"/>
    </row>
    <row r="36" spans="2:14" ht="13.5" customHeight="1" x14ac:dyDescent="0.25">
      <c r="B36" s="48" t="s">
        <v>475</v>
      </c>
      <c r="C36" s="94"/>
      <c r="D36" s="94" t="s">
        <v>461</v>
      </c>
      <c r="E36" s="94"/>
      <c r="F36" s="94"/>
      <c r="G36" s="84"/>
      <c r="I36" s="48" t="s">
        <v>476</v>
      </c>
      <c r="J36" s="94"/>
      <c r="K36" s="94" t="s">
        <v>461</v>
      </c>
      <c r="L36" s="94"/>
      <c r="M36" s="94"/>
      <c r="N36" s="83"/>
    </row>
    <row r="37" spans="2:14" ht="13.5" customHeight="1" x14ac:dyDescent="0.25">
      <c r="B37" s="48" t="s">
        <v>477</v>
      </c>
      <c r="C37" s="94" t="s">
        <v>461</v>
      </c>
      <c r="D37" s="94"/>
      <c r="E37" s="94"/>
      <c r="F37" s="94"/>
      <c r="G37" s="83"/>
      <c r="I37" s="48" t="s">
        <v>478</v>
      </c>
      <c r="J37" s="94"/>
      <c r="K37" s="94" t="s">
        <v>461</v>
      </c>
      <c r="L37" s="94"/>
      <c r="M37" s="94"/>
      <c r="N37" s="83"/>
    </row>
    <row r="38" spans="2:14" ht="13.5" customHeight="1" x14ac:dyDescent="0.25">
      <c r="B38" s="48" t="s">
        <v>479</v>
      </c>
      <c r="C38" s="94" t="s">
        <v>461</v>
      </c>
      <c r="D38" s="94"/>
      <c r="E38" s="94"/>
      <c r="F38" s="94"/>
      <c r="G38" s="83"/>
      <c r="I38" s="48" t="s">
        <v>480</v>
      </c>
      <c r="J38" s="94"/>
      <c r="K38" s="94" t="s">
        <v>461</v>
      </c>
      <c r="L38" s="94"/>
      <c r="M38" s="94"/>
      <c r="N38" s="83"/>
    </row>
    <row r="39" spans="2:14" ht="13.5" customHeight="1" x14ac:dyDescent="0.25">
      <c r="B39" s="48" t="s">
        <v>481</v>
      </c>
      <c r="C39" s="94" t="s">
        <v>461</v>
      </c>
      <c r="D39" s="94"/>
      <c r="E39" s="94"/>
      <c r="F39" s="94"/>
      <c r="G39" s="83"/>
      <c r="I39" s="48" t="s">
        <v>482</v>
      </c>
      <c r="J39" s="94"/>
      <c r="K39" s="94" t="s">
        <v>461</v>
      </c>
      <c r="L39" s="94"/>
      <c r="M39" s="94"/>
      <c r="N39" s="83"/>
    </row>
    <row r="40" spans="2:14" ht="13.5" customHeight="1" x14ac:dyDescent="0.25">
      <c r="B40" s="48" t="s">
        <v>483</v>
      </c>
      <c r="C40" s="94" t="s">
        <v>461</v>
      </c>
      <c r="D40" s="94"/>
      <c r="E40" s="94"/>
      <c r="F40" s="94"/>
      <c r="G40" s="83"/>
      <c r="I40" s="48" t="s">
        <v>484</v>
      </c>
      <c r="J40" s="94" t="s">
        <v>461</v>
      </c>
      <c r="K40" s="94"/>
      <c r="L40" s="94"/>
      <c r="M40" s="94"/>
      <c r="N40" s="83"/>
    </row>
    <row r="41" spans="2:14" ht="13.5" customHeight="1" x14ac:dyDescent="0.25">
      <c r="B41" s="48" t="s">
        <v>485</v>
      </c>
      <c r="C41" s="94" t="s">
        <v>461</v>
      </c>
      <c r="D41" s="94"/>
      <c r="E41" s="94"/>
      <c r="F41" s="94"/>
      <c r="G41" s="83"/>
      <c r="I41" s="48" t="s">
        <v>486</v>
      </c>
      <c r="J41" s="94" t="s">
        <v>461</v>
      </c>
      <c r="K41" s="94"/>
      <c r="L41" s="94"/>
      <c r="M41" s="94"/>
      <c r="N41" s="83"/>
    </row>
    <row r="42" spans="2:14" ht="13.5" customHeight="1" x14ac:dyDescent="0.25">
      <c r="B42" s="48" t="s">
        <v>487</v>
      </c>
      <c r="C42" s="94"/>
      <c r="D42" s="94" t="s">
        <v>461</v>
      </c>
      <c r="E42" s="94"/>
      <c r="F42" s="94"/>
      <c r="G42" s="83"/>
      <c r="I42" s="48" t="s">
        <v>488</v>
      </c>
      <c r="J42" s="94"/>
      <c r="K42" s="94" t="s">
        <v>461</v>
      </c>
      <c r="L42" s="94"/>
      <c r="M42" s="94"/>
      <c r="N42" s="83"/>
    </row>
    <row r="43" spans="2:14" ht="13.5" customHeight="1" x14ac:dyDescent="0.25">
      <c r="B43" s="48" t="s">
        <v>489</v>
      </c>
      <c r="C43" s="94" t="s">
        <v>461</v>
      </c>
      <c r="D43" s="94"/>
      <c r="E43" s="94"/>
      <c r="F43" s="94"/>
      <c r="G43" s="83"/>
      <c r="I43" s="48" t="s">
        <v>490</v>
      </c>
      <c r="J43" s="94"/>
      <c r="K43" s="94" t="s">
        <v>461</v>
      </c>
      <c r="L43" s="94"/>
      <c r="M43" s="94"/>
      <c r="N43" s="83"/>
    </row>
    <row r="44" spans="2:14" ht="13.5" customHeight="1" x14ac:dyDescent="0.25">
      <c r="B44" s="48" t="s">
        <v>491</v>
      </c>
      <c r="C44" s="94"/>
      <c r="D44" s="94"/>
      <c r="E44" s="94" t="s">
        <v>461</v>
      </c>
      <c r="F44" s="94"/>
      <c r="G44" s="83"/>
      <c r="I44" s="48" t="s">
        <v>492</v>
      </c>
      <c r="J44" s="94"/>
      <c r="K44" s="94" t="s">
        <v>461</v>
      </c>
      <c r="L44" s="94"/>
      <c r="M44" s="94"/>
      <c r="N44" s="83"/>
    </row>
    <row r="45" spans="2:14" ht="13.5" customHeight="1" x14ac:dyDescent="0.25">
      <c r="B45" s="48" t="s">
        <v>493</v>
      </c>
      <c r="C45" s="94" t="s">
        <v>461</v>
      </c>
      <c r="D45" s="94"/>
      <c r="E45" s="94"/>
      <c r="F45" s="94"/>
      <c r="G45" s="83"/>
      <c r="I45" s="279" t="s">
        <v>494</v>
      </c>
      <c r="J45" s="280"/>
      <c r="K45" s="280"/>
      <c r="L45" s="280"/>
      <c r="M45" s="280"/>
      <c r="N45" s="281"/>
    </row>
    <row r="46" spans="2:14" ht="13.5" customHeight="1" x14ac:dyDescent="0.25">
      <c r="B46" s="48" t="s">
        <v>495</v>
      </c>
      <c r="C46" s="94"/>
      <c r="D46" s="94"/>
      <c r="E46" s="94"/>
      <c r="F46" s="94" t="s">
        <v>461</v>
      </c>
      <c r="G46" s="83"/>
      <c r="I46" s="48" t="s">
        <v>496</v>
      </c>
      <c r="J46" s="94" t="s">
        <v>461</v>
      </c>
      <c r="K46" s="94"/>
      <c r="L46" s="94"/>
      <c r="M46" s="94"/>
      <c r="N46" s="83"/>
    </row>
    <row r="47" spans="2:14" ht="13.5" customHeight="1" x14ac:dyDescent="0.25">
      <c r="B47" s="48" t="s">
        <v>497</v>
      </c>
      <c r="C47" s="94" t="s">
        <v>461</v>
      </c>
      <c r="D47" s="94"/>
      <c r="E47" s="94"/>
      <c r="F47" s="94"/>
      <c r="G47" s="83"/>
      <c r="I47" s="48" t="s">
        <v>498</v>
      </c>
      <c r="J47" s="94"/>
      <c r="K47" s="94" t="s">
        <v>461</v>
      </c>
      <c r="L47" s="94"/>
      <c r="M47" s="94"/>
      <c r="N47" s="85"/>
    </row>
    <row r="48" spans="2:14" ht="13.5" customHeight="1" x14ac:dyDescent="0.25">
      <c r="B48" s="48" t="s">
        <v>499</v>
      </c>
      <c r="C48" s="94" t="s">
        <v>461</v>
      </c>
      <c r="D48" s="94"/>
      <c r="E48" s="94"/>
      <c r="F48" s="94"/>
      <c r="G48" s="83"/>
      <c r="I48" s="48" t="s">
        <v>453</v>
      </c>
      <c r="J48" s="94"/>
      <c r="K48" s="94" t="s">
        <v>461</v>
      </c>
      <c r="L48" s="94"/>
      <c r="M48" s="94"/>
      <c r="N48" s="85"/>
    </row>
    <row r="49" spans="2:14" ht="13.5" customHeight="1" x14ac:dyDescent="0.25">
      <c r="B49" s="48" t="s">
        <v>500</v>
      </c>
      <c r="C49" s="94" t="s">
        <v>461</v>
      </c>
      <c r="D49" s="94"/>
      <c r="E49" s="94"/>
      <c r="F49" s="94"/>
      <c r="G49" s="83"/>
      <c r="I49" s="48" t="s">
        <v>501</v>
      </c>
      <c r="J49" s="94"/>
      <c r="K49" s="94" t="s">
        <v>461</v>
      </c>
      <c r="L49" s="94"/>
      <c r="M49" s="94"/>
      <c r="N49" s="85"/>
    </row>
    <row r="50" spans="2:14" ht="13.5" customHeight="1" x14ac:dyDescent="0.25">
      <c r="B50" s="48" t="s">
        <v>502</v>
      </c>
      <c r="C50" s="94"/>
      <c r="D50" s="94" t="s">
        <v>461</v>
      </c>
      <c r="E50" s="94"/>
      <c r="F50" s="94"/>
      <c r="G50" s="83"/>
      <c r="I50" s="48" t="s">
        <v>503</v>
      </c>
      <c r="J50" s="94"/>
      <c r="K50" s="94" t="s">
        <v>461</v>
      </c>
      <c r="L50" s="94"/>
      <c r="M50" s="94"/>
      <c r="N50" s="85"/>
    </row>
    <row r="51" spans="2:14" ht="13.5" customHeight="1" x14ac:dyDescent="0.25">
      <c r="B51" s="48" t="s">
        <v>504</v>
      </c>
      <c r="C51" s="94" t="s">
        <v>461</v>
      </c>
      <c r="D51" s="94"/>
      <c r="E51" s="94"/>
      <c r="F51" s="94"/>
      <c r="G51" s="83"/>
      <c r="I51" s="48" t="s">
        <v>505</v>
      </c>
      <c r="J51" s="94"/>
      <c r="K51" s="94" t="s">
        <v>461</v>
      </c>
      <c r="L51" s="94"/>
      <c r="M51" s="94"/>
      <c r="N51" s="85"/>
    </row>
    <row r="52" spans="2:14" ht="13.5" customHeight="1" x14ac:dyDescent="0.25">
      <c r="B52" s="48" t="s">
        <v>506</v>
      </c>
      <c r="C52" s="94" t="s">
        <v>461</v>
      </c>
      <c r="D52" s="94"/>
      <c r="E52" s="94"/>
      <c r="F52" s="94"/>
      <c r="G52" s="83"/>
      <c r="I52" s="48" t="s">
        <v>507</v>
      </c>
      <c r="J52" s="94"/>
      <c r="K52" s="94" t="s">
        <v>461</v>
      </c>
      <c r="L52" s="94"/>
      <c r="M52" s="94"/>
      <c r="N52" s="85"/>
    </row>
    <row r="53" spans="2:14" ht="13.5" customHeight="1" x14ac:dyDescent="0.25">
      <c r="B53" s="48" t="s">
        <v>508</v>
      </c>
      <c r="C53" s="94" t="s">
        <v>461</v>
      </c>
      <c r="D53" s="94"/>
      <c r="E53" s="94"/>
      <c r="F53" s="94"/>
      <c r="G53" s="83"/>
      <c r="I53" s="48" t="s">
        <v>509</v>
      </c>
      <c r="J53" s="94"/>
      <c r="K53" s="94" t="s">
        <v>461</v>
      </c>
      <c r="L53" s="94"/>
      <c r="M53" s="94"/>
      <c r="N53" s="85"/>
    </row>
    <row r="54" spans="2:14" ht="13.5" customHeight="1" x14ac:dyDescent="0.25">
      <c r="B54" s="48" t="s">
        <v>510</v>
      </c>
      <c r="C54" s="94" t="s">
        <v>461</v>
      </c>
      <c r="D54" s="94"/>
      <c r="E54" s="94"/>
      <c r="F54" s="94"/>
      <c r="G54" s="83"/>
      <c r="I54" s="48" t="s">
        <v>511</v>
      </c>
      <c r="J54" s="94"/>
      <c r="K54" s="94" t="s">
        <v>461</v>
      </c>
      <c r="L54" s="94"/>
      <c r="M54" s="94"/>
      <c r="N54" s="85"/>
    </row>
    <row r="55" spans="2:14" ht="13.5" customHeight="1" x14ac:dyDescent="0.25">
      <c r="B55" s="48" t="s">
        <v>512</v>
      </c>
      <c r="C55" s="94" t="s">
        <v>461</v>
      </c>
      <c r="D55" s="94"/>
      <c r="E55" s="94"/>
      <c r="F55" s="94"/>
      <c r="G55" s="83"/>
      <c r="I55" s="279" t="s">
        <v>513</v>
      </c>
      <c r="J55" s="280"/>
      <c r="K55" s="280"/>
      <c r="L55" s="280"/>
      <c r="M55" s="280"/>
      <c r="N55" s="281"/>
    </row>
    <row r="56" spans="2:14" ht="13.5" customHeight="1" x14ac:dyDescent="0.25">
      <c r="B56" s="265" t="s">
        <v>514</v>
      </c>
      <c r="C56" s="266"/>
      <c r="D56" s="266"/>
      <c r="E56" s="266"/>
      <c r="F56" s="266"/>
      <c r="G56" s="267"/>
      <c r="I56" s="48" t="s">
        <v>515</v>
      </c>
      <c r="J56" s="94" t="s">
        <v>461</v>
      </c>
      <c r="K56" s="94"/>
      <c r="L56" s="94"/>
      <c r="M56" s="94"/>
      <c r="N56" s="83"/>
    </row>
    <row r="57" spans="2:14" ht="13.5" customHeight="1" x14ac:dyDescent="0.25">
      <c r="B57" s="72" t="s">
        <v>516</v>
      </c>
      <c r="C57" s="82"/>
      <c r="D57" s="82" t="s">
        <v>461</v>
      </c>
      <c r="E57" s="82"/>
      <c r="F57" s="94"/>
      <c r="G57" s="83"/>
      <c r="I57" s="48" t="s">
        <v>517</v>
      </c>
      <c r="J57" s="94" t="s">
        <v>461</v>
      </c>
      <c r="K57" s="94"/>
      <c r="L57" s="94"/>
      <c r="M57" s="94"/>
      <c r="N57" s="83"/>
    </row>
    <row r="58" spans="2:14" ht="13.5" customHeight="1" x14ac:dyDescent="0.25">
      <c r="B58" s="48" t="s">
        <v>518</v>
      </c>
      <c r="C58" s="82"/>
      <c r="D58" s="82" t="s">
        <v>461</v>
      </c>
      <c r="E58" s="82"/>
      <c r="F58" s="94"/>
      <c r="G58" s="83"/>
      <c r="I58" s="48" t="s">
        <v>519</v>
      </c>
      <c r="J58" s="94" t="s">
        <v>461</v>
      </c>
      <c r="K58" s="94"/>
      <c r="L58" s="94"/>
      <c r="M58" s="94"/>
      <c r="N58" s="83"/>
    </row>
    <row r="59" spans="2:14" ht="13.5" customHeight="1" x14ac:dyDescent="0.25">
      <c r="B59" s="48" t="s">
        <v>520</v>
      </c>
      <c r="C59" s="79"/>
      <c r="D59" s="79" t="s">
        <v>461</v>
      </c>
      <c r="E59" s="79"/>
      <c r="F59" s="79"/>
      <c r="G59" s="83"/>
      <c r="I59" s="48" t="s">
        <v>521</v>
      </c>
      <c r="J59" s="94" t="s">
        <v>461</v>
      </c>
      <c r="K59" s="94"/>
      <c r="L59" s="94"/>
      <c r="M59" s="94"/>
      <c r="N59" s="83"/>
    </row>
    <row r="60" spans="2:14" ht="13.5" customHeight="1" x14ac:dyDescent="0.25">
      <c r="B60" s="48" t="s">
        <v>522</v>
      </c>
      <c r="C60" s="79"/>
      <c r="D60" s="79" t="s">
        <v>461</v>
      </c>
      <c r="E60" s="79"/>
      <c r="F60" s="79"/>
      <c r="G60" s="83"/>
      <c r="I60" s="279" t="s">
        <v>523</v>
      </c>
      <c r="J60" s="280"/>
      <c r="K60" s="280"/>
      <c r="L60" s="280"/>
      <c r="M60" s="280"/>
      <c r="N60" s="281"/>
    </row>
    <row r="61" spans="2:14" ht="29.25" customHeight="1" x14ac:dyDescent="0.25">
      <c r="B61" s="48" t="s">
        <v>524</v>
      </c>
      <c r="C61" s="79" t="s">
        <v>461</v>
      </c>
      <c r="D61" s="79"/>
      <c r="E61" s="79"/>
      <c r="F61" s="79"/>
      <c r="G61" s="83"/>
      <c r="I61" s="48" t="s">
        <v>525</v>
      </c>
      <c r="J61" s="94" t="s">
        <v>461</v>
      </c>
      <c r="K61" s="94"/>
      <c r="L61" s="94"/>
      <c r="M61" s="94"/>
      <c r="N61" s="83"/>
    </row>
    <row r="62" spans="2:14" ht="13.5" customHeight="1" x14ac:dyDescent="0.25">
      <c r="B62" s="48" t="s">
        <v>526</v>
      </c>
      <c r="C62" s="79"/>
      <c r="D62" s="79" t="s">
        <v>461</v>
      </c>
      <c r="E62" s="79"/>
      <c r="F62" s="79"/>
      <c r="G62" s="276" t="s">
        <v>527</v>
      </c>
      <c r="I62" s="72" t="s">
        <v>528</v>
      </c>
      <c r="J62" s="82"/>
      <c r="K62" s="82" t="s">
        <v>461</v>
      </c>
      <c r="L62" s="82"/>
      <c r="M62" s="94"/>
      <c r="N62" s="83"/>
    </row>
    <row r="63" spans="2:14" ht="13.5" customHeight="1" x14ac:dyDescent="0.25">
      <c r="B63" s="48" t="s">
        <v>529</v>
      </c>
      <c r="C63" s="79"/>
      <c r="D63" s="79" t="s">
        <v>461</v>
      </c>
      <c r="E63" s="79"/>
      <c r="F63" s="79"/>
      <c r="G63" s="277"/>
      <c r="I63" s="48" t="s">
        <v>530</v>
      </c>
      <c r="J63" s="94"/>
      <c r="K63" s="82" t="s">
        <v>461</v>
      </c>
      <c r="L63" s="82"/>
      <c r="M63" s="94"/>
      <c r="N63" s="83"/>
    </row>
    <row r="64" spans="2:14" ht="13.5" customHeight="1" x14ac:dyDescent="0.25">
      <c r="B64" s="48" t="s">
        <v>531</v>
      </c>
      <c r="C64" s="79"/>
      <c r="D64" s="79" t="s">
        <v>461</v>
      </c>
      <c r="E64" s="79"/>
      <c r="F64" s="79"/>
      <c r="G64" s="277"/>
      <c r="I64" s="72" t="s">
        <v>532</v>
      </c>
      <c r="J64" s="82"/>
      <c r="K64" s="82" t="s">
        <v>461</v>
      </c>
      <c r="L64" s="94"/>
      <c r="M64" s="94"/>
      <c r="N64" s="83"/>
    </row>
    <row r="65" spans="2:14" ht="13.5" customHeight="1" x14ac:dyDescent="0.25">
      <c r="B65" s="48" t="s">
        <v>533</v>
      </c>
      <c r="C65" s="79"/>
      <c r="D65" s="79" t="s">
        <v>461</v>
      </c>
      <c r="E65" s="79"/>
      <c r="F65" s="79"/>
      <c r="G65" s="278"/>
      <c r="I65" s="73" t="s">
        <v>534</v>
      </c>
      <c r="J65" s="75"/>
      <c r="K65" s="75"/>
      <c r="L65" s="75"/>
      <c r="M65" s="75"/>
      <c r="N65" s="73"/>
    </row>
    <row r="66" spans="2:14" ht="13.5" customHeight="1" x14ac:dyDescent="0.25">
      <c r="I66" s="48" t="s">
        <v>535</v>
      </c>
      <c r="J66" s="94" t="s">
        <v>461</v>
      </c>
      <c r="K66" s="94"/>
      <c r="L66" s="94"/>
      <c r="M66" s="94"/>
      <c r="N66" s="83"/>
    </row>
    <row r="67" spans="2:14" ht="13.5" customHeight="1" x14ac:dyDescent="0.25">
      <c r="I67" s="48" t="s">
        <v>536</v>
      </c>
      <c r="J67" s="94" t="s">
        <v>461</v>
      </c>
      <c r="K67" s="94"/>
      <c r="L67" s="94"/>
      <c r="M67" s="94"/>
      <c r="N67" s="84"/>
    </row>
    <row r="68" spans="2:14" ht="13.5" customHeight="1" x14ac:dyDescent="0.25">
      <c r="I68" s="279" t="s">
        <v>537</v>
      </c>
      <c r="J68" s="280"/>
      <c r="K68" s="280"/>
      <c r="L68" s="280"/>
      <c r="M68" s="280"/>
      <c r="N68" s="281"/>
    </row>
    <row r="69" spans="2:14" ht="13.5" customHeight="1" x14ac:dyDescent="0.25">
      <c r="I69" s="72"/>
      <c r="J69" s="82"/>
      <c r="K69" s="82"/>
      <c r="L69" s="82"/>
      <c r="M69" s="94"/>
      <c r="N69" s="83"/>
    </row>
    <row r="70" spans="2:14" ht="13.5" customHeight="1" x14ac:dyDescent="0.25">
      <c r="I70" s="72"/>
      <c r="J70" s="82"/>
      <c r="K70" s="82"/>
      <c r="L70" s="82"/>
      <c r="M70" s="94"/>
      <c r="N70" s="83"/>
    </row>
    <row r="71" spans="2:14" ht="13.5" customHeight="1" x14ac:dyDescent="0.25">
      <c r="I71" s="72"/>
      <c r="J71" s="82"/>
      <c r="K71" s="82"/>
      <c r="L71" s="82"/>
      <c r="M71" s="94"/>
      <c r="N71" s="83"/>
    </row>
    <row r="72" spans="2:14" ht="13.5" customHeight="1" x14ac:dyDescent="0.25">
      <c r="I72" s="72"/>
      <c r="J72" s="82"/>
      <c r="K72" s="82"/>
      <c r="L72" s="82"/>
      <c r="M72" s="94"/>
      <c r="N72" s="83"/>
    </row>
    <row r="73" spans="2:14" ht="13.5" customHeight="1" x14ac:dyDescent="0.25">
      <c r="I73" s="72"/>
      <c r="J73" s="82"/>
      <c r="K73" s="82"/>
      <c r="L73" s="82"/>
      <c r="M73" s="94"/>
      <c r="N73" s="83"/>
    </row>
    <row r="74" spans="2:14" ht="13.5" customHeight="1" x14ac:dyDescent="0.25">
      <c r="I74" s="72"/>
      <c r="J74" s="82"/>
      <c r="K74" s="82"/>
      <c r="L74" s="82"/>
      <c r="M74" s="94"/>
      <c r="N74" s="83"/>
    </row>
    <row r="75" spans="2:14" ht="13.5" customHeight="1" x14ac:dyDescent="0.25">
      <c r="I75" s="72"/>
      <c r="J75" s="82"/>
      <c r="K75" s="82"/>
      <c r="L75" s="82"/>
      <c r="M75" s="94"/>
      <c r="N75" s="83"/>
    </row>
    <row r="76" spans="2:14" ht="13.5" customHeight="1" x14ac:dyDescent="0.25">
      <c r="I76" s="72"/>
      <c r="J76" s="82"/>
      <c r="K76" s="82"/>
      <c r="L76" s="82"/>
      <c r="M76" s="94"/>
      <c r="N76" s="83"/>
    </row>
    <row r="77" spans="2:14" ht="13.5" customHeight="1" x14ac:dyDescent="0.25">
      <c r="I77" s="72"/>
      <c r="J77" s="82"/>
      <c r="K77" s="82"/>
      <c r="L77" s="82"/>
      <c r="M77" s="94"/>
      <c r="N77" s="83"/>
    </row>
  </sheetData>
  <mergeCells count="20">
    <mergeCell ref="G62:G65"/>
    <mergeCell ref="I68:N68"/>
    <mergeCell ref="B31:G31"/>
    <mergeCell ref="I34:N34"/>
    <mergeCell ref="I45:N45"/>
    <mergeCell ref="I55:N55"/>
    <mergeCell ref="B56:G56"/>
    <mergeCell ref="I60:N60"/>
    <mergeCell ref="I21:I22"/>
    <mergeCell ref="J21:M21"/>
    <mergeCell ref="N21:N22"/>
    <mergeCell ref="B23:G23"/>
    <mergeCell ref="I23:N23"/>
    <mergeCell ref="B26:G26"/>
    <mergeCell ref="B16:B17"/>
    <mergeCell ref="C16:F16"/>
    <mergeCell ref="G16:G17"/>
    <mergeCell ref="B21:B22"/>
    <mergeCell ref="C21:F21"/>
    <mergeCell ref="G21:G22"/>
  </mergeCells>
  <pageMargins left="0.7" right="0.7" top="0.75" bottom="0.75" header="0.3" footer="0.3"/>
  <pageSetup scale="3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F13DA-3825-4B2B-A660-8057C309BE3B}">
  <dimension ref="A1:H10"/>
  <sheetViews>
    <sheetView showGridLines="0" workbookViewId="0">
      <selection activeCell="I12" sqref="I12"/>
    </sheetView>
  </sheetViews>
  <sheetFormatPr defaultColWidth="9.28515625" defaultRowHeight="13.5" x14ac:dyDescent="0.25"/>
  <cols>
    <col min="1" max="1" width="2" style="1" customWidth="1"/>
    <col min="2" max="2" width="3.7109375" style="1" customWidth="1"/>
    <col min="3" max="3" width="22.42578125" style="1" customWidth="1"/>
    <col min="4" max="5" width="15.7109375" style="1" customWidth="1"/>
    <col min="6" max="16384" width="9.28515625" style="1"/>
  </cols>
  <sheetData>
    <row r="1" spans="1:8" x14ac:dyDescent="0.25">
      <c r="A1" s="20" t="str">
        <f>Demographics!A1</f>
        <v>EXHIBIT C:  CURRENT SITE DATA</v>
      </c>
    </row>
    <row r="2" spans="1:8" x14ac:dyDescent="0.25">
      <c r="A2" s="2" t="str">
        <f>Demographics!A2</f>
        <v>North Carolina Agricultural &amp; Technical State University (N.C. A&amp;T)</v>
      </c>
      <c r="D2" s="121"/>
      <c r="E2" s="121"/>
      <c r="F2" s="121"/>
      <c r="G2" s="121"/>
      <c r="H2" s="121"/>
    </row>
    <row r="3" spans="1:8" x14ac:dyDescent="0.25">
      <c r="A3" s="2" t="s">
        <v>538</v>
      </c>
    </row>
    <row r="5" spans="1:8" ht="27" customHeight="1" x14ac:dyDescent="0.25">
      <c r="C5" s="189" t="s">
        <v>250</v>
      </c>
      <c r="D5" s="90" t="s">
        <v>386</v>
      </c>
      <c r="E5" s="90" t="s">
        <v>387</v>
      </c>
      <c r="G5" s="9"/>
    </row>
    <row r="6" spans="1:8" ht="40.5" x14ac:dyDescent="0.25">
      <c r="B6" s="9"/>
      <c r="C6" s="186" t="s">
        <v>539</v>
      </c>
      <c r="D6" s="183">
        <v>125000</v>
      </c>
      <c r="E6" s="184">
        <v>125000</v>
      </c>
      <c r="G6" s="9"/>
    </row>
    <row r="7" spans="1:8" ht="27" x14ac:dyDescent="0.25">
      <c r="B7" s="9"/>
      <c r="C7" s="187" t="s">
        <v>540</v>
      </c>
      <c r="D7" s="183">
        <v>73868</v>
      </c>
      <c r="E7" s="184">
        <v>73868</v>
      </c>
      <c r="G7" s="9"/>
    </row>
    <row r="8" spans="1:8" x14ac:dyDescent="0.25">
      <c r="B8" s="9"/>
      <c r="C8" s="188" t="s">
        <v>541</v>
      </c>
      <c r="D8" s="183">
        <v>62400</v>
      </c>
      <c r="E8" s="185"/>
    </row>
    <row r="9" spans="1:8" x14ac:dyDescent="0.25">
      <c r="B9" s="9"/>
      <c r="C9" s="188" t="s">
        <v>542</v>
      </c>
      <c r="D9" s="183">
        <v>24300</v>
      </c>
      <c r="E9" s="185"/>
    </row>
    <row r="10" spans="1:8" x14ac:dyDescent="0.25">
      <c r="B10" s="9"/>
      <c r="C10" s="188" t="s">
        <v>543</v>
      </c>
      <c r="D10" s="183">
        <v>36750</v>
      </c>
      <c r="E10" s="184">
        <v>36750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DDBF5-1CDB-423E-8723-337AB7F853B8}">
  <dimension ref="A1:D15"/>
  <sheetViews>
    <sheetView showGridLines="0" workbookViewId="0">
      <selection activeCell="J11" sqref="J11"/>
    </sheetView>
  </sheetViews>
  <sheetFormatPr defaultColWidth="9.140625" defaultRowHeight="13.5" x14ac:dyDescent="0.25"/>
  <cols>
    <col min="1" max="1" width="1.42578125" style="1" customWidth="1"/>
    <col min="2" max="2" width="36.5703125" style="1" customWidth="1"/>
    <col min="3" max="4" width="13.140625" style="1" customWidth="1"/>
    <col min="5" max="16384" width="9.140625" style="1"/>
  </cols>
  <sheetData>
    <row r="1" spans="1:4" x14ac:dyDescent="0.25">
      <c r="A1" s="20" t="str">
        <f>Demographics!A1</f>
        <v>EXHIBIT C:  CURRENT SITE DATA</v>
      </c>
    </row>
    <row r="2" spans="1:4" x14ac:dyDescent="0.25">
      <c r="A2" s="2" t="str">
        <f>Demographics!A2</f>
        <v>North Carolina Agricultural &amp; Technical State University (N.C. A&amp;T)</v>
      </c>
    </row>
    <row r="3" spans="1:4" x14ac:dyDescent="0.25">
      <c r="A3" s="2" t="s">
        <v>544</v>
      </c>
    </row>
    <row r="5" spans="1:4" ht="14.25" thickBot="1" x14ac:dyDescent="0.3"/>
    <row r="6" spans="1:4" x14ac:dyDescent="0.25">
      <c r="B6" s="40" t="s">
        <v>545</v>
      </c>
      <c r="C6" s="41" t="s">
        <v>135</v>
      </c>
      <c r="D6" s="32" t="s">
        <v>546</v>
      </c>
    </row>
    <row r="7" spans="1:4" x14ac:dyDescent="0.25">
      <c r="B7" s="42" t="s">
        <v>547</v>
      </c>
      <c r="C7" s="43" t="s">
        <v>548</v>
      </c>
      <c r="D7" s="44" t="s">
        <v>548</v>
      </c>
    </row>
    <row r="8" spans="1:4" x14ac:dyDescent="0.25">
      <c r="B8" s="3" t="s">
        <v>549</v>
      </c>
      <c r="C8" s="16">
        <v>400000</v>
      </c>
      <c r="D8" s="16">
        <v>400000</v>
      </c>
    </row>
    <row r="9" spans="1:4" x14ac:dyDescent="0.25">
      <c r="B9" s="3" t="s">
        <v>550</v>
      </c>
      <c r="C9" s="16">
        <v>125000</v>
      </c>
      <c r="D9" s="16">
        <v>125000</v>
      </c>
    </row>
    <row r="10" spans="1:4" x14ac:dyDescent="0.25">
      <c r="B10" s="3" t="s">
        <v>543</v>
      </c>
      <c r="C10" s="16">
        <v>36750</v>
      </c>
      <c r="D10" s="16">
        <v>36750</v>
      </c>
    </row>
    <row r="11" spans="1:4" x14ac:dyDescent="0.25">
      <c r="B11" s="3" t="s">
        <v>551</v>
      </c>
      <c r="C11" s="16">
        <v>81899.199999999997</v>
      </c>
      <c r="D11" s="16">
        <v>81899.199999999997</v>
      </c>
    </row>
    <row r="12" spans="1:4" x14ac:dyDescent="0.25">
      <c r="B12" s="3" t="s">
        <v>552</v>
      </c>
      <c r="C12" s="16">
        <v>100000</v>
      </c>
      <c r="D12" s="16">
        <v>100000</v>
      </c>
    </row>
    <row r="13" spans="1:4" x14ac:dyDescent="0.25">
      <c r="B13" s="3" t="s">
        <v>553</v>
      </c>
      <c r="C13" s="16">
        <v>25000</v>
      </c>
      <c r="D13" s="16">
        <v>25000</v>
      </c>
    </row>
    <row r="14" spans="1:4" x14ac:dyDescent="0.25">
      <c r="B14" s="3" t="s">
        <v>554</v>
      </c>
      <c r="C14" s="16">
        <v>73868</v>
      </c>
      <c r="D14" s="16">
        <v>73868</v>
      </c>
    </row>
    <row r="15" spans="1:4" x14ac:dyDescent="0.25">
      <c r="B15" s="17" t="s">
        <v>121</v>
      </c>
      <c r="C15" s="179">
        <f>SUM(C8:C14)</f>
        <v>842517.2</v>
      </c>
      <c r="D15" s="179">
        <f>SUM(D8:D14)</f>
        <v>842517.2</v>
      </c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"/>
  <sheetViews>
    <sheetView showGridLines="0" workbookViewId="0">
      <selection activeCell="A2" sqref="A2"/>
    </sheetView>
  </sheetViews>
  <sheetFormatPr defaultColWidth="8.7109375" defaultRowHeight="13.5" x14ac:dyDescent="0.25"/>
  <cols>
    <col min="1" max="1" width="3.140625" style="1" customWidth="1"/>
    <col min="2" max="2" width="24.140625" style="1" customWidth="1"/>
    <col min="3" max="3" width="35.42578125" style="1" customWidth="1"/>
    <col min="4" max="4" width="27.42578125" style="1" customWidth="1"/>
    <col min="5" max="16384" width="8.7109375" style="1"/>
  </cols>
  <sheetData>
    <row r="1" spans="1:5" x14ac:dyDescent="0.25">
      <c r="A1" s="2" t="str">
        <f>Demographics!A1</f>
        <v>EXHIBIT C:  CURRENT SITE DATA</v>
      </c>
    </row>
    <row r="2" spans="1:5" x14ac:dyDescent="0.25">
      <c r="A2" s="2" t="str">
        <f>Demographics!A2</f>
        <v>North Carolina Agricultural &amp; Technical State University (N.C. A&amp;T)</v>
      </c>
    </row>
    <row r="3" spans="1:5" x14ac:dyDescent="0.25">
      <c r="A3" s="2" t="s">
        <v>58</v>
      </c>
    </row>
    <row r="4" spans="1:5" ht="14.25" thickBot="1" x14ac:dyDescent="0.3"/>
    <row r="5" spans="1:5" ht="40.5" x14ac:dyDescent="0.25">
      <c r="B5" s="76" t="s">
        <v>59</v>
      </c>
      <c r="C5" s="18" t="s">
        <v>60</v>
      </c>
      <c r="D5" s="77" t="s">
        <v>61</v>
      </c>
      <c r="E5" s="19"/>
    </row>
    <row r="6" spans="1:5" x14ac:dyDescent="0.25">
      <c r="B6" s="129" t="s">
        <v>62</v>
      </c>
      <c r="C6" s="129" t="s">
        <v>63</v>
      </c>
      <c r="D6" s="129"/>
    </row>
    <row r="7" spans="1:5" x14ac:dyDescent="0.25">
      <c r="B7" s="129" t="s">
        <v>64</v>
      </c>
      <c r="C7" s="129"/>
      <c r="D7" s="129" t="s">
        <v>65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49732-60C6-424A-A827-014AEFA34A03}">
  <sheetPr>
    <pageSetUpPr fitToPage="1"/>
  </sheetPr>
  <dimension ref="A1:P60"/>
  <sheetViews>
    <sheetView showGridLines="0" topLeftCell="A3" workbookViewId="0">
      <selection activeCell="E22" sqref="E22"/>
    </sheetView>
  </sheetViews>
  <sheetFormatPr defaultColWidth="9.140625" defaultRowHeight="13.5" x14ac:dyDescent="0.25"/>
  <cols>
    <col min="1" max="1" width="1.42578125" style="1" customWidth="1"/>
    <col min="2" max="2" width="33.7109375" style="1" customWidth="1"/>
    <col min="3" max="3" width="11.7109375" style="11" customWidth="1"/>
    <col min="4" max="15" width="14.140625" style="11" customWidth="1"/>
    <col min="16" max="16" width="39.7109375" style="1" customWidth="1"/>
    <col min="17" max="19" width="13.7109375" style="1" customWidth="1"/>
    <col min="20" max="20" width="27.140625" style="1" customWidth="1"/>
    <col min="21" max="21" width="9.140625" style="1"/>
    <col min="22" max="22" width="27.7109375" style="1" bestFit="1" customWidth="1"/>
    <col min="23" max="16384" width="9.140625" style="1"/>
  </cols>
  <sheetData>
    <row r="1" spans="1:16" x14ac:dyDescent="0.25">
      <c r="A1" s="20" t="str">
        <f>Demographics!A1</f>
        <v>EXHIBIT C:  CURRENT SITE DATA</v>
      </c>
      <c r="C1" s="1"/>
      <c r="E1" s="176"/>
    </row>
    <row r="2" spans="1:16" x14ac:dyDescent="0.25">
      <c r="A2" s="2" t="str">
        <f>Demographics!A2</f>
        <v>North Carolina Agricultural &amp; Technical State University (N.C. A&amp;T)</v>
      </c>
      <c r="C2" s="1"/>
    </row>
    <row r="3" spans="1:16" x14ac:dyDescent="0.25">
      <c r="A3" s="2" t="s">
        <v>66</v>
      </c>
      <c r="C3" s="1"/>
    </row>
    <row r="4" spans="1:16" x14ac:dyDescent="0.25">
      <c r="A4" s="2"/>
      <c r="C4" s="1"/>
    </row>
    <row r="5" spans="1:16" x14ac:dyDescent="0.25">
      <c r="A5" s="2"/>
      <c r="C5" s="1"/>
    </row>
    <row r="6" spans="1:16" x14ac:dyDescent="0.25">
      <c r="A6" s="2"/>
      <c r="B6" s="2" t="s">
        <v>67</v>
      </c>
      <c r="C6" s="1"/>
    </row>
    <row r="7" spans="1:16" ht="15" customHeight="1" x14ac:dyDescent="0.25">
      <c r="A7" s="2"/>
      <c r="B7" s="206" t="s">
        <v>68</v>
      </c>
      <c r="C7" s="208" t="s">
        <v>69</v>
      </c>
      <c r="D7" s="210" t="s">
        <v>9</v>
      </c>
      <c r="E7" s="210"/>
      <c r="F7" s="210"/>
      <c r="G7" s="210" t="s">
        <v>10</v>
      </c>
      <c r="H7" s="210"/>
      <c r="I7" s="210"/>
      <c r="J7" s="211" t="s">
        <v>70</v>
      </c>
      <c r="K7" s="212"/>
      <c r="L7" s="213"/>
      <c r="M7" s="211" t="s">
        <v>71</v>
      </c>
      <c r="N7" s="212"/>
      <c r="O7" s="213"/>
      <c r="P7" s="204" t="s">
        <v>72</v>
      </c>
    </row>
    <row r="8" spans="1:16" ht="40.5" x14ac:dyDescent="0.25">
      <c r="B8" s="207"/>
      <c r="C8" s="209"/>
      <c r="D8" s="65" t="s">
        <v>73</v>
      </c>
      <c r="E8" s="65" t="s">
        <v>74</v>
      </c>
      <c r="F8" s="65" t="s">
        <v>75</v>
      </c>
      <c r="G8" s="66" t="s">
        <v>73</v>
      </c>
      <c r="H8" s="65" t="s">
        <v>74</v>
      </c>
      <c r="I8" s="65" t="s">
        <v>75</v>
      </c>
      <c r="J8" s="66" t="s">
        <v>73</v>
      </c>
      <c r="K8" s="65" t="s">
        <v>74</v>
      </c>
      <c r="L8" s="65" t="s">
        <v>75</v>
      </c>
      <c r="M8" s="66" t="s">
        <v>73</v>
      </c>
      <c r="N8" s="65" t="s">
        <v>74</v>
      </c>
      <c r="O8" s="65" t="s">
        <v>75</v>
      </c>
      <c r="P8" s="205"/>
    </row>
    <row r="9" spans="1:16" x14ac:dyDescent="0.25">
      <c r="B9" s="3" t="s">
        <v>76</v>
      </c>
      <c r="C9" s="63">
        <v>2111.5300000000002</v>
      </c>
      <c r="D9" s="53">
        <v>304</v>
      </c>
      <c r="E9" s="53">
        <f>36</f>
        <v>36</v>
      </c>
      <c r="F9" s="154">
        <f>SUM(D9:E9)</f>
        <v>340</v>
      </c>
      <c r="G9" s="166">
        <v>202</v>
      </c>
      <c r="H9" s="53">
        <f>10+11+1</f>
        <v>22</v>
      </c>
      <c r="I9" s="154">
        <f>SUM(G9:H9)</f>
        <v>224</v>
      </c>
      <c r="J9" s="64">
        <v>0</v>
      </c>
      <c r="K9" s="53">
        <v>0</v>
      </c>
      <c r="L9" s="53">
        <f>SUM(J9:K9)</f>
        <v>0</v>
      </c>
      <c r="M9" s="64"/>
      <c r="N9" s="53">
        <v>0</v>
      </c>
      <c r="O9" s="53">
        <f>SUM(M9:N9)</f>
        <v>0</v>
      </c>
      <c r="P9" s="3"/>
    </row>
    <row r="10" spans="1:16" x14ac:dyDescent="0.25">
      <c r="B10" s="3" t="s">
        <v>77</v>
      </c>
      <c r="C10" s="63">
        <v>2047.48</v>
      </c>
      <c r="D10" s="53">
        <v>297</v>
      </c>
      <c r="E10" s="53">
        <f>13+34</f>
        <v>47</v>
      </c>
      <c r="F10" s="154">
        <f t="shared" ref="F10:F21" si="0">SUM(D10:E10)</f>
        <v>344</v>
      </c>
      <c r="G10" s="166">
        <v>188</v>
      </c>
      <c r="H10" s="53">
        <f>8+4+14+1</f>
        <v>27</v>
      </c>
      <c r="I10" s="154">
        <f t="shared" ref="I10:I18" si="1">SUM(G10:H10)</f>
        <v>215</v>
      </c>
      <c r="J10" s="64">
        <v>69</v>
      </c>
      <c r="K10" s="53">
        <v>0</v>
      </c>
      <c r="L10" s="53">
        <f t="shared" ref="L10:L21" si="2">SUM(J10:K10)</f>
        <v>69</v>
      </c>
      <c r="M10" s="64">
        <v>188</v>
      </c>
      <c r="N10" s="53">
        <v>0</v>
      </c>
      <c r="O10" s="53">
        <f t="shared" ref="O10:O21" si="3">SUM(M10:N10)</f>
        <v>188</v>
      </c>
      <c r="P10" s="3"/>
    </row>
    <row r="11" spans="1:16" x14ac:dyDescent="0.25">
      <c r="B11" s="3" t="s">
        <v>78</v>
      </c>
      <c r="C11" s="63">
        <v>2098.0300000000002</v>
      </c>
      <c r="D11" s="53">
        <v>3272</v>
      </c>
      <c r="E11" s="53">
        <f>130+41+184+7+2</f>
        <v>364</v>
      </c>
      <c r="F11" s="154">
        <f t="shared" si="0"/>
        <v>3636</v>
      </c>
      <c r="G11" s="166">
        <v>3206</v>
      </c>
      <c r="H11" s="53">
        <f>92+26+171+3+9</f>
        <v>301</v>
      </c>
      <c r="I11" s="154">
        <f t="shared" si="1"/>
        <v>3507</v>
      </c>
      <c r="J11" s="64">
        <v>0</v>
      </c>
      <c r="K11" s="53">
        <v>0</v>
      </c>
      <c r="L11" s="53">
        <f t="shared" si="2"/>
        <v>0</v>
      </c>
      <c r="M11" s="64">
        <v>0</v>
      </c>
      <c r="N11" s="53">
        <v>0</v>
      </c>
      <c r="O11" s="53">
        <f t="shared" si="3"/>
        <v>0</v>
      </c>
      <c r="P11" s="3"/>
    </row>
    <row r="12" spans="1:16" x14ac:dyDescent="0.25">
      <c r="B12" s="3" t="s">
        <v>79</v>
      </c>
      <c r="C12" s="63">
        <v>1935.67</v>
      </c>
      <c r="D12" s="53">
        <v>121</v>
      </c>
      <c r="E12" s="53">
        <v>91</v>
      </c>
      <c r="F12" s="154">
        <f t="shared" si="0"/>
        <v>212</v>
      </c>
      <c r="G12" s="166">
        <v>105</v>
      </c>
      <c r="H12" s="53">
        <f>23+3+36</f>
        <v>62</v>
      </c>
      <c r="I12" s="154">
        <f t="shared" si="1"/>
        <v>167</v>
      </c>
      <c r="J12" s="64">
        <v>0</v>
      </c>
      <c r="K12" s="53">
        <v>0</v>
      </c>
      <c r="L12" s="53">
        <f t="shared" si="2"/>
        <v>0</v>
      </c>
      <c r="M12" s="64">
        <v>0</v>
      </c>
      <c r="N12" s="53">
        <v>0</v>
      </c>
      <c r="O12" s="53">
        <f t="shared" si="3"/>
        <v>0</v>
      </c>
      <c r="P12" s="3"/>
    </row>
    <row r="13" spans="1:16" x14ac:dyDescent="0.25">
      <c r="B13" s="3" t="s">
        <v>80</v>
      </c>
      <c r="C13" s="63">
        <v>1932.29</v>
      </c>
      <c r="D13" s="53">
        <v>304</v>
      </c>
      <c r="E13" s="53">
        <v>77</v>
      </c>
      <c r="F13" s="154">
        <f t="shared" si="0"/>
        <v>381</v>
      </c>
      <c r="G13" s="166">
        <v>295</v>
      </c>
      <c r="H13" s="53">
        <f>55+7+118+5+4</f>
        <v>189</v>
      </c>
      <c r="I13" s="154">
        <f t="shared" si="1"/>
        <v>484</v>
      </c>
      <c r="J13" s="64">
        <v>0</v>
      </c>
      <c r="K13" s="53">
        <v>0</v>
      </c>
      <c r="L13" s="53">
        <f t="shared" si="2"/>
        <v>0</v>
      </c>
      <c r="M13" s="64">
        <v>0</v>
      </c>
      <c r="N13" s="53">
        <v>0</v>
      </c>
      <c r="O13" s="53">
        <f t="shared" si="3"/>
        <v>0</v>
      </c>
      <c r="P13" s="3"/>
    </row>
    <row r="14" spans="1:16" x14ac:dyDescent="0.25">
      <c r="B14" s="3" t="s">
        <v>81</v>
      </c>
      <c r="C14" s="63">
        <v>2042.26</v>
      </c>
      <c r="D14" s="53">
        <v>674</v>
      </c>
      <c r="E14" s="53">
        <f>170+368+10+3+3+1+1</f>
        <v>556</v>
      </c>
      <c r="F14" s="154">
        <f t="shared" si="0"/>
        <v>1230</v>
      </c>
      <c r="G14" s="166">
        <v>662</v>
      </c>
      <c r="H14" s="53">
        <f>134+7+245+2+1+5</f>
        <v>394</v>
      </c>
      <c r="I14" s="154">
        <f t="shared" si="1"/>
        <v>1056</v>
      </c>
      <c r="J14" s="64">
        <v>0</v>
      </c>
      <c r="K14" s="53">
        <v>0</v>
      </c>
      <c r="L14" s="53">
        <f t="shared" si="2"/>
        <v>0</v>
      </c>
      <c r="M14" s="64">
        <v>0</v>
      </c>
      <c r="N14" s="53">
        <v>0</v>
      </c>
      <c r="O14" s="53">
        <f t="shared" si="3"/>
        <v>0</v>
      </c>
      <c r="P14" s="3"/>
    </row>
    <row r="15" spans="1:16" x14ac:dyDescent="0.25">
      <c r="B15" s="3" t="s">
        <v>82</v>
      </c>
      <c r="C15" s="63">
        <v>1092.3399999999999</v>
      </c>
      <c r="D15" s="53">
        <v>0</v>
      </c>
      <c r="E15" s="53">
        <v>111</v>
      </c>
      <c r="F15" s="154">
        <f t="shared" si="0"/>
        <v>111</v>
      </c>
      <c r="G15" s="64">
        <v>0</v>
      </c>
      <c r="H15" s="53">
        <v>83</v>
      </c>
      <c r="I15" s="53">
        <f t="shared" si="1"/>
        <v>83</v>
      </c>
      <c r="J15" s="64">
        <v>0</v>
      </c>
      <c r="K15" s="53">
        <v>0</v>
      </c>
      <c r="L15" s="53">
        <f t="shared" si="2"/>
        <v>0</v>
      </c>
      <c r="M15" s="64">
        <v>0</v>
      </c>
      <c r="N15" s="53">
        <v>0</v>
      </c>
      <c r="O15" s="53">
        <f t="shared" si="3"/>
        <v>0</v>
      </c>
      <c r="P15" s="3"/>
    </row>
    <row r="16" spans="1:16" x14ac:dyDescent="0.25">
      <c r="B16" s="3" t="s">
        <v>83</v>
      </c>
      <c r="C16" s="63">
        <v>907.22</v>
      </c>
      <c r="D16" s="53">
        <v>0</v>
      </c>
      <c r="E16" s="53">
        <v>59</v>
      </c>
      <c r="F16" s="154">
        <f t="shared" si="0"/>
        <v>59</v>
      </c>
      <c r="G16" s="64">
        <v>0</v>
      </c>
      <c r="H16" s="53">
        <v>55</v>
      </c>
      <c r="I16" s="53">
        <f t="shared" si="1"/>
        <v>55</v>
      </c>
      <c r="J16" s="64">
        <v>0</v>
      </c>
      <c r="K16" s="53">
        <v>0</v>
      </c>
      <c r="L16" s="53">
        <f t="shared" si="2"/>
        <v>0</v>
      </c>
      <c r="M16" s="64">
        <v>0</v>
      </c>
      <c r="N16" s="53">
        <v>0</v>
      </c>
      <c r="O16" s="53">
        <f t="shared" si="3"/>
        <v>0</v>
      </c>
      <c r="P16" s="3"/>
    </row>
    <row r="17" spans="1:16" x14ac:dyDescent="0.25">
      <c r="B17" s="3" t="s">
        <v>84</v>
      </c>
      <c r="C17" s="63">
        <v>1000</v>
      </c>
      <c r="D17" s="53">
        <v>0</v>
      </c>
      <c r="E17" s="53">
        <v>824</v>
      </c>
      <c r="F17" s="154">
        <f t="shared" si="0"/>
        <v>824</v>
      </c>
      <c r="G17" s="64">
        <v>0</v>
      </c>
      <c r="H17" s="53">
        <v>772</v>
      </c>
      <c r="I17" s="53">
        <f t="shared" si="1"/>
        <v>772</v>
      </c>
      <c r="J17" s="64">
        <v>0</v>
      </c>
      <c r="K17" s="53">
        <v>0</v>
      </c>
      <c r="L17" s="53">
        <f t="shared" si="2"/>
        <v>0</v>
      </c>
      <c r="M17" s="64">
        <v>0</v>
      </c>
      <c r="N17" s="53">
        <v>0</v>
      </c>
      <c r="O17" s="53">
        <f t="shared" si="3"/>
        <v>0</v>
      </c>
      <c r="P17" s="3"/>
    </row>
    <row r="18" spans="1:16" x14ac:dyDescent="0.25">
      <c r="B18" s="3" t="s">
        <v>85</v>
      </c>
      <c r="C18" s="63">
        <v>500</v>
      </c>
      <c r="D18" s="53">
        <v>0</v>
      </c>
      <c r="E18" s="53">
        <v>1123</v>
      </c>
      <c r="F18" s="154">
        <f t="shared" si="0"/>
        <v>1123</v>
      </c>
      <c r="G18" s="64">
        <v>0</v>
      </c>
      <c r="H18" s="53">
        <v>1119</v>
      </c>
      <c r="I18" s="53">
        <f t="shared" si="1"/>
        <v>1119</v>
      </c>
      <c r="J18" s="64">
        <v>0</v>
      </c>
      <c r="K18" s="53">
        <v>0</v>
      </c>
      <c r="L18" s="53">
        <f t="shared" si="2"/>
        <v>0</v>
      </c>
      <c r="M18" s="64">
        <v>0</v>
      </c>
      <c r="N18" s="53">
        <v>0</v>
      </c>
      <c r="O18" s="53">
        <f t="shared" si="3"/>
        <v>0</v>
      </c>
      <c r="P18" s="3"/>
    </row>
    <row r="19" spans="1:16" x14ac:dyDescent="0.25">
      <c r="B19" s="3" t="s">
        <v>86</v>
      </c>
      <c r="C19" s="63">
        <v>432.34</v>
      </c>
      <c r="D19" s="53">
        <v>0</v>
      </c>
      <c r="E19" s="53"/>
      <c r="F19" s="53">
        <f t="shared" si="0"/>
        <v>0</v>
      </c>
      <c r="G19" s="64">
        <v>0</v>
      </c>
      <c r="H19" s="53">
        <v>0</v>
      </c>
      <c r="I19" s="53">
        <v>6</v>
      </c>
      <c r="J19" s="64">
        <v>0</v>
      </c>
      <c r="K19" s="53">
        <v>0</v>
      </c>
      <c r="L19" s="53">
        <f t="shared" si="2"/>
        <v>0</v>
      </c>
      <c r="M19" s="64">
        <v>0</v>
      </c>
      <c r="N19" s="53">
        <v>0</v>
      </c>
      <c r="O19" s="53">
        <f t="shared" si="3"/>
        <v>0</v>
      </c>
      <c r="P19" s="3"/>
    </row>
    <row r="20" spans="1:16" x14ac:dyDescent="0.25">
      <c r="B20" s="3" t="s">
        <v>87</v>
      </c>
      <c r="C20" s="63">
        <v>288.23</v>
      </c>
      <c r="D20" s="53">
        <v>0</v>
      </c>
      <c r="E20" s="53"/>
      <c r="F20" s="53">
        <f t="shared" si="0"/>
        <v>0</v>
      </c>
      <c r="G20" s="64">
        <v>0</v>
      </c>
      <c r="H20" s="53">
        <v>0</v>
      </c>
      <c r="I20" s="53">
        <v>60</v>
      </c>
      <c r="J20" s="64">
        <v>0</v>
      </c>
      <c r="K20" s="53">
        <v>0</v>
      </c>
      <c r="L20" s="53">
        <f t="shared" si="2"/>
        <v>0</v>
      </c>
      <c r="M20" s="64">
        <v>0</v>
      </c>
      <c r="N20" s="53">
        <v>0</v>
      </c>
      <c r="O20" s="53">
        <f t="shared" si="3"/>
        <v>0</v>
      </c>
      <c r="P20" s="3"/>
    </row>
    <row r="21" spans="1:16" x14ac:dyDescent="0.25">
      <c r="B21" s="3" t="s">
        <v>88</v>
      </c>
      <c r="C21" s="63">
        <v>144.11000000000001</v>
      </c>
      <c r="D21" s="53">
        <v>0</v>
      </c>
      <c r="E21" s="53"/>
      <c r="F21" s="53">
        <f t="shared" si="0"/>
        <v>0</v>
      </c>
      <c r="G21" s="64">
        <v>0</v>
      </c>
      <c r="H21" s="53">
        <v>0</v>
      </c>
      <c r="I21" s="53">
        <v>191</v>
      </c>
      <c r="J21" s="64">
        <v>0</v>
      </c>
      <c r="K21" s="53">
        <v>0</v>
      </c>
      <c r="L21" s="53">
        <f t="shared" si="2"/>
        <v>0</v>
      </c>
      <c r="M21" s="64">
        <v>0</v>
      </c>
      <c r="N21" s="53">
        <v>0</v>
      </c>
      <c r="O21" s="53">
        <f t="shared" si="3"/>
        <v>0</v>
      </c>
      <c r="P21" s="3"/>
    </row>
    <row r="22" spans="1:16" x14ac:dyDescent="0.25">
      <c r="D22" s="56"/>
      <c r="E22" s="58" t="s">
        <v>89</v>
      </c>
      <c r="F22" s="177">
        <f>SUM(F9:F21)</f>
        <v>8260</v>
      </c>
      <c r="G22" s="56"/>
      <c r="H22" s="58" t="s">
        <v>90</v>
      </c>
      <c r="I22" s="175">
        <f>SUM(I9:I21)</f>
        <v>7939</v>
      </c>
      <c r="J22" s="56"/>
      <c r="K22" s="58" t="s">
        <v>90</v>
      </c>
      <c r="L22" s="175">
        <f>SUM(L9:L21)</f>
        <v>69</v>
      </c>
      <c r="M22" s="56"/>
      <c r="N22" s="58" t="s">
        <v>90</v>
      </c>
      <c r="O22" s="175">
        <f>SUM(O9:O21)</f>
        <v>188</v>
      </c>
    </row>
    <row r="23" spans="1:16" x14ac:dyDescent="0.25">
      <c r="B23" s="12" t="s">
        <v>4</v>
      </c>
      <c r="C23" s="11" t="s">
        <v>4</v>
      </c>
      <c r="E23" s="58" t="s">
        <v>91</v>
      </c>
      <c r="F23" s="178">
        <v>121</v>
      </c>
      <c r="H23" s="58" t="s">
        <v>91</v>
      </c>
      <c r="I23" s="178">
        <v>122</v>
      </c>
      <c r="K23" s="58" t="s">
        <v>91</v>
      </c>
      <c r="L23" s="178">
        <v>38</v>
      </c>
      <c r="N23" s="58" t="s">
        <v>91</v>
      </c>
      <c r="O23" s="178">
        <v>38</v>
      </c>
    </row>
    <row r="24" spans="1:16" x14ac:dyDescent="0.25">
      <c r="A24" s="2"/>
      <c r="B24" s="2" t="s">
        <v>92</v>
      </c>
      <c r="C24" s="1"/>
    </row>
    <row r="25" spans="1:16" ht="15" customHeight="1" x14ac:dyDescent="0.25">
      <c r="A25" s="2"/>
      <c r="B25" s="206" t="s">
        <v>68</v>
      </c>
      <c r="C25" s="208" t="s">
        <v>69</v>
      </c>
      <c r="D25" s="210" t="s">
        <v>6</v>
      </c>
      <c r="E25" s="210"/>
      <c r="F25" s="210"/>
      <c r="G25" s="210" t="s">
        <v>7</v>
      </c>
      <c r="H25" s="210"/>
      <c r="I25" s="210"/>
      <c r="J25" s="211" t="s">
        <v>93</v>
      </c>
      <c r="K25" s="212"/>
      <c r="L25" s="213"/>
      <c r="M25" s="211" t="s">
        <v>94</v>
      </c>
      <c r="N25" s="212"/>
      <c r="O25" s="213"/>
      <c r="P25" s="204" t="s">
        <v>72</v>
      </c>
    </row>
    <row r="26" spans="1:16" ht="40.5" x14ac:dyDescent="0.25">
      <c r="B26" s="207"/>
      <c r="C26" s="209"/>
      <c r="D26" s="65" t="s">
        <v>73</v>
      </c>
      <c r="E26" s="65" t="s">
        <v>74</v>
      </c>
      <c r="F26" s="65" t="s">
        <v>75</v>
      </c>
      <c r="G26" s="66" t="s">
        <v>73</v>
      </c>
      <c r="H26" s="65" t="s">
        <v>74</v>
      </c>
      <c r="I26" s="65" t="s">
        <v>75</v>
      </c>
      <c r="J26" s="66" t="s">
        <v>73</v>
      </c>
      <c r="K26" s="65" t="s">
        <v>74</v>
      </c>
      <c r="L26" s="65" t="s">
        <v>75</v>
      </c>
      <c r="M26" s="66" t="s">
        <v>73</v>
      </c>
      <c r="N26" s="65" t="s">
        <v>74</v>
      </c>
      <c r="O26" s="65" t="s">
        <v>75</v>
      </c>
      <c r="P26" s="205"/>
    </row>
    <row r="27" spans="1:16" x14ac:dyDescent="0.25">
      <c r="B27" s="3" t="s">
        <v>76</v>
      </c>
      <c r="C27" s="63">
        <v>2058.16</v>
      </c>
      <c r="D27" s="53">
        <f>266+8</f>
        <v>274</v>
      </c>
      <c r="E27" s="53">
        <f>12+27</f>
        <v>39</v>
      </c>
      <c r="F27" s="53">
        <f>SUM(D27:E27)</f>
        <v>313</v>
      </c>
      <c r="G27" s="64">
        <f>154</f>
        <v>154</v>
      </c>
      <c r="H27" s="53">
        <f>16</f>
        <v>16</v>
      </c>
      <c r="I27" s="53">
        <f>SUM(G27:H27)</f>
        <v>170</v>
      </c>
      <c r="J27" s="64"/>
      <c r="K27" s="53">
        <v>0</v>
      </c>
      <c r="L27" s="53">
        <f>SUM(J27:K27)</f>
        <v>0</v>
      </c>
      <c r="M27" s="64">
        <v>0</v>
      </c>
      <c r="N27" s="53">
        <v>0</v>
      </c>
      <c r="O27" s="53">
        <f>SUM(M27:N27)</f>
        <v>0</v>
      </c>
      <c r="P27" s="3"/>
    </row>
    <row r="28" spans="1:16" x14ac:dyDescent="0.25">
      <c r="B28" s="3" t="s">
        <v>77</v>
      </c>
      <c r="C28" s="63">
        <v>1994.11</v>
      </c>
      <c r="D28" s="53">
        <f>215</f>
        <v>215</v>
      </c>
      <c r="E28" s="53">
        <f>11+23</f>
        <v>34</v>
      </c>
      <c r="F28" s="53">
        <f t="shared" ref="F28:F39" si="4">SUM(D28:E28)</f>
        <v>249</v>
      </c>
      <c r="G28" s="64">
        <f>174</f>
        <v>174</v>
      </c>
      <c r="H28" s="53">
        <f>11</f>
        <v>11</v>
      </c>
      <c r="I28" s="53">
        <f t="shared" ref="I28:I36" si="5">SUM(G28:H28)</f>
        <v>185</v>
      </c>
      <c r="J28" s="64">
        <f>170</f>
        <v>170</v>
      </c>
      <c r="K28" s="53">
        <v>0</v>
      </c>
      <c r="L28" s="53">
        <f t="shared" ref="L28:L39" si="6">SUM(J28:K28)</f>
        <v>170</v>
      </c>
      <c r="M28" s="64">
        <v>261</v>
      </c>
      <c r="N28" s="53">
        <v>0</v>
      </c>
      <c r="O28" s="53">
        <f t="shared" ref="O28:O39" si="7">SUM(M28:N28)</f>
        <v>261</v>
      </c>
      <c r="P28" s="3"/>
    </row>
    <row r="29" spans="1:16" x14ac:dyDescent="0.25">
      <c r="B29" s="3" t="s">
        <v>78</v>
      </c>
      <c r="C29" s="63">
        <v>2044.66</v>
      </c>
      <c r="D29" s="53">
        <f>3294+8+23</f>
        <v>3325</v>
      </c>
      <c r="E29" s="53">
        <f>212+9+23</f>
        <v>244</v>
      </c>
      <c r="F29" s="53">
        <f t="shared" si="4"/>
        <v>3569</v>
      </c>
      <c r="G29" s="64">
        <f>3075+35</f>
        <v>3110</v>
      </c>
      <c r="H29" s="53">
        <f>121+183</f>
        <v>304</v>
      </c>
      <c r="I29" s="53">
        <f t="shared" si="5"/>
        <v>3414</v>
      </c>
      <c r="J29" s="64">
        <v>0</v>
      </c>
      <c r="K29" s="53">
        <v>0</v>
      </c>
      <c r="L29" s="53">
        <f t="shared" si="6"/>
        <v>0</v>
      </c>
      <c r="M29" s="64">
        <v>0</v>
      </c>
      <c r="N29" s="53">
        <v>0</v>
      </c>
      <c r="O29" s="53">
        <f t="shared" si="7"/>
        <v>0</v>
      </c>
      <c r="P29" s="3"/>
    </row>
    <row r="30" spans="1:16" x14ac:dyDescent="0.25">
      <c r="B30" s="3" t="s">
        <v>79</v>
      </c>
      <c r="C30" s="63">
        <v>1882.29</v>
      </c>
      <c r="D30" s="53">
        <f>26+9</f>
        <v>35</v>
      </c>
      <c r="E30" s="53">
        <f>22+43</f>
        <v>65</v>
      </c>
      <c r="F30" s="53">
        <f t="shared" si="4"/>
        <v>100</v>
      </c>
      <c r="G30" s="64">
        <f>30</f>
        <v>30</v>
      </c>
      <c r="H30" s="53">
        <f>22+29</f>
        <v>51</v>
      </c>
      <c r="I30" s="53">
        <f t="shared" si="5"/>
        <v>81</v>
      </c>
      <c r="J30" s="64">
        <v>0</v>
      </c>
      <c r="K30" s="53">
        <v>0</v>
      </c>
      <c r="L30" s="53">
        <f t="shared" si="6"/>
        <v>0</v>
      </c>
      <c r="M30" s="64">
        <v>0</v>
      </c>
      <c r="N30" s="53">
        <v>0</v>
      </c>
      <c r="O30" s="53">
        <f t="shared" si="7"/>
        <v>0</v>
      </c>
      <c r="P30" s="3"/>
    </row>
    <row r="31" spans="1:16" x14ac:dyDescent="0.25">
      <c r="B31" s="3" t="s">
        <v>80</v>
      </c>
      <c r="C31" s="63">
        <v>1878.92</v>
      </c>
      <c r="D31" s="53">
        <f>70</f>
        <v>70</v>
      </c>
      <c r="E31" s="53">
        <f>52+91</f>
        <v>143</v>
      </c>
      <c r="F31" s="53">
        <f t="shared" si="4"/>
        <v>213</v>
      </c>
      <c r="G31" s="64">
        <f>101+7</f>
        <v>108</v>
      </c>
      <c r="H31" s="53">
        <f>47+82</f>
        <v>129</v>
      </c>
      <c r="I31" s="53">
        <f t="shared" si="5"/>
        <v>237</v>
      </c>
      <c r="J31" s="64">
        <v>0</v>
      </c>
      <c r="K31" s="53">
        <v>0</v>
      </c>
      <c r="L31" s="53">
        <f t="shared" si="6"/>
        <v>0</v>
      </c>
      <c r="M31" s="64">
        <v>0</v>
      </c>
      <c r="N31" s="53">
        <v>0</v>
      </c>
      <c r="O31" s="53">
        <f t="shared" si="7"/>
        <v>0</v>
      </c>
      <c r="P31" s="3"/>
    </row>
    <row r="32" spans="1:16" x14ac:dyDescent="0.25">
      <c r="B32" s="3" t="s">
        <v>81</v>
      </c>
      <c r="C32" s="63">
        <v>1988.89</v>
      </c>
      <c r="D32" s="53">
        <f>26+146</f>
        <v>172</v>
      </c>
      <c r="E32" s="53">
        <f>26+116+286</f>
        <v>428</v>
      </c>
      <c r="F32" s="53">
        <f t="shared" si="4"/>
        <v>600</v>
      </c>
      <c r="G32" s="64">
        <f>274+268</f>
        <v>542</v>
      </c>
      <c r="H32" s="53">
        <f>97+16</f>
        <v>113</v>
      </c>
      <c r="I32" s="53">
        <f t="shared" si="5"/>
        <v>655</v>
      </c>
      <c r="J32" s="64">
        <v>0</v>
      </c>
      <c r="K32" s="53">
        <v>0</v>
      </c>
      <c r="L32" s="53">
        <f t="shared" si="6"/>
        <v>0</v>
      </c>
      <c r="M32" s="64">
        <v>0</v>
      </c>
      <c r="N32" s="53">
        <v>0</v>
      </c>
      <c r="O32" s="53">
        <f t="shared" si="7"/>
        <v>0</v>
      </c>
      <c r="P32" s="3"/>
    </row>
    <row r="33" spans="1:16" x14ac:dyDescent="0.25">
      <c r="B33" s="3" t="s">
        <v>82</v>
      </c>
      <c r="C33" s="63">
        <v>1038.97</v>
      </c>
      <c r="D33" s="53">
        <v>0</v>
      </c>
      <c r="E33" s="53">
        <v>109</v>
      </c>
      <c r="F33" s="53">
        <f t="shared" si="4"/>
        <v>109</v>
      </c>
      <c r="G33" s="64">
        <v>0</v>
      </c>
      <c r="H33" s="53">
        <f>84</f>
        <v>84</v>
      </c>
      <c r="I33" s="53">
        <f t="shared" si="5"/>
        <v>84</v>
      </c>
      <c r="J33" s="64">
        <v>0</v>
      </c>
      <c r="K33" s="53">
        <v>0</v>
      </c>
      <c r="L33" s="53">
        <f t="shared" si="6"/>
        <v>0</v>
      </c>
      <c r="M33" s="64">
        <v>0</v>
      </c>
      <c r="N33" s="53">
        <v>0</v>
      </c>
      <c r="O33" s="53">
        <f t="shared" si="7"/>
        <v>0</v>
      </c>
      <c r="P33" s="3"/>
    </row>
    <row r="34" spans="1:16" x14ac:dyDescent="0.25">
      <c r="B34" s="3" t="s">
        <v>83</v>
      </c>
      <c r="C34" s="63">
        <v>853.84</v>
      </c>
      <c r="D34" s="53">
        <v>0</v>
      </c>
      <c r="E34" s="53">
        <v>67</v>
      </c>
      <c r="F34" s="53">
        <f t="shared" si="4"/>
        <v>67</v>
      </c>
      <c r="G34" s="64">
        <v>0</v>
      </c>
      <c r="H34" s="53">
        <f>68</f>
        <v>68</v>
      </c>
      <c r="I34" s="53">
        <f t="shared" si="5"/>
        <v>68</v>
      </c>
      <c r="J34" s="64">
        <v>0</v>
      </c>
      <c r="K34" s="53">
        <v>0</v>
      </c>
      <c r="L34" s="53">
        <f t="shared" si="6"/>
        <v>0</v>
      </c>
      <c r="M34" s="64">
        <v>0</v>
      </c>
      <c r="N34" s="53">
        <v>0</v>
      </c>
      <c r="O34" s="53">
        <f t="shared" si="7"/>
        <v>0</v>
      </c>
      <c r="P34" s="3"/>
    </row>
    <row r="35" spans="1:16" x14ac:dyDescent="0.25">
      <c r="B35" s="3" t="s">
        <v>84</v>
      </c>
      <c r="C35" s="63">
        <v>1000</v>
      </c>
      <c r="D35" s="53">
        <v>0</v>
      </c>
      <c r="E35" s="53">
        <v>635</v>
      </c>
      <c r="F35" s="53">
        <f t="shared" si="4"/>
        <v>635</v>
      </c>
      <c r="G35" s="64">
        <v>0</v>
      </c>
      <c r="H35" s="53">
        <f>507</f>
        <v>507</v>
      </c>
      <c r="I35" s="53">
        <f t="shared" si="5"/>
        <v>507</v>
      </c>
      <c r="J35" s="64">
        <v>0</v>
      </c>
      <c r="K35" s="53">
        <v>0</v>
      </c>
      <c r="L35" s="53">
        <f t="shared" si="6"/>
        <v>0</v>
      </c>
      <c r="M35" s="64">
        <v>0</v>
      </c>
      <c r="N35" s="53">
        <v>0</v>
      </c>
      <c r="O35" s="53">
        <f t="shared" si="7"/>
        <v>0</v>
      </c>
      <c r="P35" s="3"/>
    </row>
    <row r="36" spans="1:16" x14ac:dyDescent="0.25">
      <c r="B36" s="3" t="s">
        <v>85</v>
      </c>
      <c r="C36" s="63">
        <v>500</v>
      </c>
      <c r="D36" s="53">
        <v>0</v>
      </c>
      <c r="E36" s="53">
        <f>929</f>
        <v>929</v>
      </c>
      <c r="F36" s="53">
        <f t="shared" si="4"/>
        <v>929</v>
      </c>
      <c r="G36" s="64">
        <v>0</v>
      </c>
      <c r="H36" s="53">
        <v>984</v>
      </c>
      <c r="I36" s="53">
        <f t="shared" si="5"/>
        <v>984</v>
      </c>
      <c r="J36" s="64">
        <v>0</v>
      </c>
      <c r="K36" s="53">
        <v>0</v>
      </c>
      <c r="L36" s="53">
        <f t="shared" si="6"/>
        <v>0</v>
      </c>
      <c r="M36" s="64">
        <v>0</v>
      </c>
      <c r="N36" s="53">
        <v>0</v>
      </c>
      <c r="O36" s="53">
        <f t="shared" si="7"/>
        <v>0</v>
      </c>
      <c r="P36" s="3"/>
    </row>
    <row r="37" spans="1:16" x14ac:dyDescent="0.25">
      <c r="B37" s="3" t="s">
        <v>86</v>
      </c>
      <c r="C37" s="63">
        <v>432.34</v>
      </c>
      <c r="D37" s="53">
        <v>0</v>
      </c>
      <c r="E37" s="53">
        <v>0</v>
      </c>
      <c r="F37" s="53">
        <v>0</v>
      </c>
      <c r="G37" s="64">
        <v>0</v>
      </c>
      <c r="H37" s="53">
        <v>0</v>
      </c>
      <c r="I37" s="53">
        <v>1</v>
      </c>
      <c r="J37" s="64">
        <v>0</v>
      </c>
      <c r="K37" s="53">
        <v>0</v>
      </c>
      <c r="L37" s="53">
        <f t="shared" si="6"/>
        <v>0</v>
      </c>
      <c r="M37" s="64">
        <v>0</v>
      </c>
      <c r="N37" s="53">
        <v>0</v>
      </c>
      <c r="O37" s="53">
        <f t="shared" si="7"/>
        <v>0</v>
      </c>
      <c r="P37" s="3"/>
    </row>
    <row r="38" spans="1:16" x14ac:dyDescent="0.25">
      <c r="B38" s="3" t="s">
        <v>87</v>
      </c>
      <c r="C38" s="63">
        <v>288.23</v>
      </c>
      <c r="D38" s="53">
        <v>0</v>
      </c>
      <c r="E38" s="53">
        <v>0</v>
      </c>
      <c r="F38" s="53">
        <v>0</v>
      </c>
      <c r="G38" s="64">
        <v>0</v>
      </c>
      <c r="H38" s="53">
        <v>0</v>
      </c>
      <c r="I38" s="53">
        <v>15</v>
      </c>
      <c r="J38" s="64">
        <v>0</v>
      </c>
      <c r="K38" s="53">
        <v>0</v>
      </c>
      <c r="L38" s="53">
        <f t="shared" si="6"/>
        <v>0</v>
      </c>
      <c r="M38" s="64">
        <v>0</v>
      </c>
      <c r="N38" s="53">
        <v>0</v>
      </c>
      <c r="O38" s="53">
        <f t="shared" si="7"/>
        <v>0</v>
      </c>
      <c r="P38" s="3"/>
    </row>
    <row r="39" spans="1:16" x14ac:dyDescent="0.25">
      <c r="B39" s="3" t="s">
        <v>88</v>
      </c>
      <c r="C39" s="63">
        <v>144.11000000000001</v>
      </c>
      <c r="D39" s="53"/>
      <c r="E39" s="53"/>
      <c r="F39" s="53">
        <f t="shared" si="4"/>
        <v>0</v>
      </c>
      <c r="G39" s="64">
        <v>0</v>
      </c>
      <c r="H39" s="53">
        <v>0</v>
      </c>
      <c r="I39" s="53">
        <v>126</v>
      </c>
      <c r="J39" s="64">
        <v>0</v>
      </c>
      <c r="K39" s="53"/>
      <c r="L39" s="53">
        <f t="shared" si="6"/>
        <v>0</v>
      </c>
      <c r="M39" s="64">
        <v>0</v>
      </c>
      <c r="N39" s="53">
        <v>0</v>
      </c>
      <c r="O39" s="53">
        <f t="shared" si="7"/>
        <v>0</v>
      </c>
      <c r="P39" s="3"/>
    </row>
    <row r="40" spans="1:16" x14ac:dyDescent="0.25">
      <c r="D40" s="56"/>
      <c r="E40" s="58" t="s">
        <v>89</v>
      </c>
      <c r="F40" s="177">
        <f>SUM(F27:F39)</f>
        <v>6784</v>
      </c>
      <c r="G40" s="56"/>
      <c r="H40" s="58" t="s">
        <v>90</v>
      </c>
      <c r="I40" s="175">
        <f>SUM(I27:I39)</f>
        <v>6527</v>
      </c>
      <c r="J40" s="56"/>
      <c r="K40" s="58" t="s">
        <v>90</v>
      </c>
      <c r="L40" s="175">
        <f>SUM(L27:L39)</f>
        <v>170</v>
      </c>
      <c r="M40" s="56"/>
      <c r="N40" s="58" t="s">
        <v>90</v>
      </c>
      <c r="O40" s="175">
        <f>SUM(O27:O39)</f>
        <v>261</v>
      </c>
    </row>
    <row r="41" spans="1:16" x14ac:dyDescent="0.25">
      <c r="B41" s="12" t="s">
        <v>4</v>
      </c>
      <c r="C41" s="11" t="s">
        <v>4</v>
      </c>
      <c r="E41" s="58" t="s">
        <v>91</v>
      </c>
      <c r="F41" s="178">
        <v>120</v>
      </c>
      <c r="H41" s="58" t="s">
        <v>91</v>
      </c>
      <c r="I41" s="178">
        <v>130</v>
      </c>
      <c r="K41" s="58" t="s">
        <v>91</v>
      </c>
      <c r="L41" s="178">
        <v>38</v>
      </c>
      <c r="N41" s="58" t="s">
        <v>91</v>
      </c>
      <c r="O41" s="178">
        <v>38</v>
      </c>
    </row>
    <row r="43" spans="1:16" x14ac:dyDescent="0.25">
      <c r="A43" s="2"/>
      <c r="B43" s="2" t="s">
        <v>95</v>
      </c>
      <c r="C43" s="1"/>
    </row>
    <row r="44" spans="1:16" ht="15" customHeight="1" x14ac:dyDescent="0.25">
      <c r="A44" s="2"/>
      <c r="B44" s="206" t="s">
        <v>68</v>
      </c>
      <c r="C44" s="208" t="s">
        <v>69</v>
      </c>
      <c r="D44" s="210" t="s">
        <v>96</v>
      </c>
      <c r="E44" s="210"/>
      <c r="F44" s="210"/>
      <c r="G44" s="210" t="s">
        <v>97</v>
      </c>
      <c r="H44" s="210"/>
      <c r="I44" s="210"/>
      <c r="J44" s="211" t="s">
        <v>98</v>
      </c>
      <c r="K44" s="212"/>
      <c r="L44" s="213"/>
      <c r="M44" s="211" t="s">
        <v>99</v>
      </c>
      <c r="N44" s="212"/>
      <c r="O44" s="213"/>
      <c r="P44" s="204" t="s">
        <v>72</v>
      </c>
    </row>
    <row r="45" spans="1:16" ht="40.5" x14ac:dyDescent="0.25">
      <c r="B45" s="207"/>
      <c r="C45" s="209"/>
      <c r="D45" s="65" t="s">
        <v>73</v>
      </c>
      <c r="E45" s="65" t="s">
        <v>74</v>
      </c>
      <c r="F45" s="65" t="s">
        <v>75</v>
      </c>
      <c r="G45" s="66" t="s">
        <v>73</v>
      </c>
      <c r="H45" s="65" t="s">
        <v>74</v>
      </c>
      <c r="I45" s="65" t="s">
        <v>75</v>
      </c>
      <c r="J45" s="66" t="s">
        <v>73</v>
      </c>
      <c r="K45" s="65" t="s">
        <v>74</v>
      </c>
      <c r="L45" s="65" t="s">
        <v>75</v>
      </c>
      <c r="M45" s="66" t="s">
        <v>73</v>
      </c>
      <c r="N45" s="65" t="s">
        <v>74</v>
      </c>
      <c r="O45" s="65" t="s">
        <v>75</v>
      </c>
      <c r="P45" s="205"/>
    </row>
    <row r="46" spans="1:16" x14ac:dyDescent="0.25">
      <c r="B46" s="3" t="s">
        <v>76</v>
      </c>
      <c r="C46" s="63">
        <v>2004.78</v>
      </c>
      <c r="D46" s="53">
        <v>297</v>
      </c>
      <c r="E46" s="53">
        <f>13+40</f>
        <v>53</v>
      </c>
      <c r="F46" s="53">
        <f>SUM(D46:E46)</f>
        <v>350</v>
      </c>
      <c r="G46" s="64">
        <f>8+163</f>
        <v>171</v>
      </c>
      <c r="H46" s="53">
        <f>11+18</f>
        <v>29</v>
      </c>
      <c r="I46" s="53">
        <f>SUM(G46:H46)</f>
        <v>200</v>
      </c>
      <c r="J46" s="64"/>
      <c r="K46" s="53"/>
      <c r="L46" s="53">
        <f>SUM(J46:K46)</f>
        <v>0</v>
      </c>
      <c r="M46" s="64"/>
      <c r="N46" s="53"/>
      <c r="O46" s="53">
        <f>SUM(M46:N46)</f>
        <v>0</v>
      </c>
      <c r="P46" s="3"/>
    </row>
    <row r="47" spans="1:16" x14ac:dyDescent="0.25">
      <c r="B47" s="3" t="s">
        <v>77</v>
      </c>
      <c r="C47" s="63">
        <v>1940.73</v>
      </c>
      <c r="D47" s="53">
        <f>184</f>
        <v>184</v>
      </c>
      <c r="E47" s="53">
        <f>13+24</f>
        <v>37</v>
      </c>
      <c r="F47" s="53">
        <f t="shared" ref="F47:F58" si="8">SUM(D47:E47)</f>
        <v>221</v>
      </c>
      <c r="G47" s="64">
        <f>145+11</f>
        <v>156</v>
      </c>
      <c r="H47" s="53">
        <f>12+24</f>
        <v>36</v>
      </c>
      <c r="I47" s="53">
        <f t="shared" ref="I47:I55" si="9">SUM(G47:H47)</f>
        <v>192</v>
      </c>
      <c r="J47" s="64">
        <f>187</f>
        <v>187</v>
      </c>
      <c r="K47" s="53"/>
      <c r="L47" s="53">
        <f t="shared" ref="L47:L58" si="10">SUM(J47:K47)</f>
        <v>187</v>
      </c>
      <c r="M47" s="64">
        <f>265</f>
        <v>265</v>
      </c>
      <c r="N47" s="53"/>
      <c r="O47" s="53">
        <f t="shared" ref="O47:O58" si="11">SUM(M47:N47)</f>
        <v>265</v>
      </c>
      <c r="P47" s="3"/>
    </row>
    <row r="48" spans="1:16" x14ac:dyDescent="0.25">
      <c r="B48" s="3" t="s">
        <v>78</v>
      </c>
      <c r="C48" s="63">
        <v>1991.28</v>
      </c>
      <c r="D48" s="53">
        <f>2930+56</f>
        <v>2986</v>
      </c>
      <c r="E48" s="53">
        <f>115+255</f>
        <v>370</v>
      </c>
      <c r="F48" s="53">
        <f t="shared" si="8"/>
        <v>3356</v>
      </c>
      <c r="G48" s="64">
        <f>2862+68</f>
        <v>2930</v>
      </c>
      <c r="H48" s="53">
        <f>104+238</f>
        <v>342</v>
      </c>
      <c r="I48" s="53">
        <f t="shared" si="9"/>
        <v>3272</v>
      </c>
      <c r="J48" s="64"/>
      <c r="K48" s="53"/>
      <c r="L48" s="53">
        <f t="shared" si="10"/>
        <v>0</v>
      </c>
      <c r="M48" s="64"/>
      <c r="N48" s="53"/>
      <c r="O48" s="53">
        <f t="shared" si="11"/>
        <v>0</v>
      </c>
      <c r="P48" s="3"/>
    </row>
    <row r="49" spans="2:16" x14ac:dyDescent="0.25">
      <c r="B49" s="3" t="s">
        <v>79</v>
      </c>
      <c r="C49" s="63">
        <v>1828.92</v>
      </c>
      <c r="D49" s="53">
        <f>24+5</f>
        <v>29</v>
      </c>
      <c r="E49" s="53">
        <f>14+39</f>
        <v>53</v>
      </c>
      <c r="F49" s="53">
        <f t="shared" si="8"/>
        <v>82</v>
      </c>
      <c r="G49" s="64">
        <f>26+28+3</f>
        <v>57</v>
      </c>
      <c r="H49" s="53">
        <f>13</f>
        <v>13</v>
      </c>
      <c r="I49" s="53">
        <f t="shared" si="9"/>
        <v>70</v>
      </c>
      <c r="J49" s="64"/>
      <c r="K49" s="53"/>
      <c r="L49" s="53"/>
      <c r="M49" s="64"/>
      <c r="N49" s="53"/>
      <c r="O49" s="53"/>
      <c r="P49" s="3"/>
    </row>
    <row r="50" spans="2:16" x14ac:dyDescent="0.25">
      <c r="B50" s="3" t="s">
        <v>80</v>
      </c>
      <c r="C50" s="63">
        <v>1825.54</v>
      </c>
      <c r="D50" s="53">
        <f>45+13</f>
        <v>58</v>
      </c>
      <c r="E50" s="53">
        <f>34+81</f>
        <v>115</v>
      </c>
      <c r="F50" s="53">
        <f t="shared" si="8"/>
        <v>173</v>
      </c>
      <c r="G50" s="64">
        <f>119</f>
        <v>119</v>
      </c>
      <c r="H50" s="53">
        <f>27+7</f>
        <v>34</v>
      </c>
      <c r="I50" s="53">
        <f t="shared" si="9"/>
        <v>153</v>
      </c>
      <c r="J50" s="64"/>
      <c r="K50" s="53"/>
      <c r="L50" s="53"/>
      <c r="M50" s="64"/>
      <c r="N50" s="53"/>
      <c r="O50" s="53"/>
      <c r="P50" s="3"/>
    </row>
    <row r="51" spans="2:16" x14ac:dyDescent="0.25">
      <c r="B51" s="3" t="s">
        <v>81</v>
      </c>
      <c r="C51" s="63">
        <v>1935.51</v>
      </c>
      <c r="D51" s="53">
        <f>102+29</f>
        <v>131</v>
      </c>
      <c r="E51" s="53">
        <f>62+157</f>
        <v>219</v>
      </c>
      <c r="F51" s="53">
        <f t="shared" si="8"/>
        <v>350</v>
      </c>
      <c r="G51" s="64">
        <f>173+17</f>
        <v>190</v>
      </c>
      <c r="H51" s="53">
        <f>58+164</f>
        <v>222</v>
      </c>
      <c r="I51" s="53">
        <f t="shared" si="9"/>
        <v>412</v>
      </c>
      <c r="J51" s="64"/>
      <c r="K51" s="53"/>
      <c r="L51" s="53">
        <f t="shared" si="10"/>
        <v>0</v>
      </c>
      <c r="M51" s="64"/>
      <c r="N51" s="53"/>
      <c r="O51" s="53">
        <f t="shared" si="11"/>
        <v>0</v>
      </c>
      <c r="P51" s="3"/>
    </row>
    <row r="52" spans="2:16" x14ac:dyDescent="0.25">
      <c r="B52" s="3" t="s">
        <v>82</v>
      </c>
      <c r="C52" s="63">
        <v>798.78</v>
      </c>
      <c r="D52" s="53"/>
      <c r="E52" s="53">
        <f>128</f>
        <v>128</v>
      </c>
      <c r="F52" s="53">
        <f t="shared" si="8"/>
        <v>128</v>
      </c>
      <c r="G52" s="64"/>
      <c r="H52" s="53">
        <f>105</f>
        <v>105</v>
      </c>
      <c r="I52" s="53">
        <f t="shared" si="9"/>
        <v>105</v>
      </c>
      <c r="J52" s="64"/>
      <c r="K52" s="53"/>
      <c r="L52" s="53"/>
      <c r="M52" s="64"/>
      <c r="N52" s="53"/>
      <c r="O52" s="53"/>
      <c r="P52" s="3"/>
    </row>
    <row r="53" spans="2:16" x14ac:dyDescent="0.25">
      <c r="B53" s="3" t="s">
        <v>83</v>
      </c>
      <c r="C53" s="63">
        <v>613.66</v>
      </c>
      <c r="D53" s="53"/>
      <c r="E53" s="53">
        <f>64</f>
        <v>64</v>
      </c>
      <c r="F53" s="53">
        <f t="shared" si="8"/>
        <v>64</v>
      </c>
      <c r="G53" s="64"/>
      <c r="H53" s="53">
        <f>63</f>
        <v>63</v>
      </c>
      <c r="I53" s="53">
        <f t="shared" si="9"/>
        <v>63</v>
      </c>
      <c r="J53" s="64"/>
      <c r="K53" s="53"/>
      <c r="L53" s="53"/>
      <c r="M53" s="64"/>
      <c r="N53" s="53"/>
      <c r="O53" s="53"/>
      <c r="P53" s="3"/>
    </row>
    <row r="54" spans="2:16" x14ac:dyDescent="0.25">
      <c r="B54" s="3" t="s">
        <v>84</v>
      </c>
      <c r="C54" s="63">
        <v>1000</v>
      </c>
      <c r="D54" s="53"/>
      <c r="E54" s="53">
        <f>471</f>
        <v>471</v>
      </c>
      <c r="F54" s="53">
        <f t="shared" si="8"/>
        <v>471</v>
      </c>
      <c r="G54" s="64"/>
      <c r="H54" s="53">
        <f>394</f>
        <v>394</v>
      </c>
      <c r="I54" s="53">
        <f t="shared" si="9"/>
        <v>394</v>
      </c>
      <c r="J54" s="64"/>
      <c r="K54" s="53"/>
      <c r="L54" s="53">
        <f t="shared" si="10"/>
        <v>0</v>
      </c>
      <c r="M54" s="64"/>
      <c r="N54" s="53"/>
      <c r="O54" s="53">
        <f t="shared" si="11"/>
        <v>0</v>
      </c>
      <c r="P54" s="3"/>
    </row>
    <row r="55" spans="2:16" x14ac:dyDescent="0.25">
      <c r="B55" s="3" t="s">
        <v>85</v>
      </c>
      <c r="C55" s="63">
        <v>500</v>
      </c>
      <c r="D55" s="53"/>
      <c r="E55" s="53">
        <f>1053</f>
        <v>1053</v>
      </c>
      <c r="F55" s="53">
        <f t="shared" si="8"/>
        <v>1053</v>
      </c>
      <c r="G55" s="64"/>
      <c r="H55" s="53">
        <f>1048</f>
        <v>1048</v>
      </c>
      <c r="I55" s="53">
        <f t="shared" si="9"/>
        <v>1048</v>
      </c>
      <c r="J55" s="64"/>
      <c r="K55" s="53"/>
      <c r="L55" s="53">
        <f t="shared" si="10"/>
        <v>0</v>
      </c>
      <c r="M55" s="64"/>
      <c r="N55" s="53"/>
      <c r="O55" s="53">
        <f t="shared" si="11"/>
        <v>0</v>
      </c>
      <c r="P55" s="3"/>
    </row>
    <row r="56" spans="2:16" x14ac:dyDescent="0.25">
      <c r="B56" s="3" t="s">
        <v>86</v>
      </c>
      <c r="C56" s="63">
        <v>432.34</v>
      </c>
      <c r="D56" s="53"/>
      <c r="E56" s="53"/>
      <c r="F56" s="53">
        <f t="shared" si="8"/>
        <v>0</v>
      </c>
      <c r="G56" s="64"/>
      <c r="H56" s="53"/>
      <c r="I56" s="53">
        <v>3</v>
      </c>
      <c r="J56" s="64"/>
      <c r="K56" s="53"/>
      <c r="L56" s="53"/>
      <c r="M56" s="64"/>
      <c r="N56" s="53"/>
      <c r="O56" s="53"/>
      <c r="P56" s="3"/>
    </row>
    <row r="57" spans="2:16" x14ac:dyDescent="0.25">
      <c r="B57" s="3" t="s">
        <v>87</v>
      </c>
      <c r="C57" s="63">
        <v>288.23</v>
      </c>
      <c r="D57" s="53"/>
      <c r="E57" s="53"/>
      <c r="F57" s="53">
        <f t="shared" si="8"/>
        <v>0</v>
      </c>
      <c r="G57" s="64"/>
      <c r="H57" s="53"/>
      <c r="I57" s="53">
        <v>12</v>
      </c>
      <c r="J57" s="64"/>
      <c r="K57" s="53"/>
      <c r="L57" s="53">
        <f t="shared" si="10"/>
        <v>0</v>
      </c>
      <c r="M57" s="64"/>
      <c r="N57" s="53"/>
      <c r="O57" s="53">
        <f t="shared" si="11"/>
        <v>0</v>
      </c>
      <c r="P57" s="3"/>
    </row>
    <row r="58" spans="2:16" x14ac:dyDescent="0.25">
      <c r="B58" s="3" t="s">
        <v>88</v>
      </c>
      <c r="C58" s="63">
        <v>144.44</v>
      </c>
      <c r="D58" s="53"/>
      <c r="E58" s="53"/>
      <c r="F58" s="53">
        <f t="shared" si="8"/>
        <v>0</v>
      </c>
      <c r="G58" s="64"/>
      <c r="H58" s="53"/>
      <c r="I58" s="53">
        <v>73</v>
      </c>
      <c r="J58" s="64"/>
      <c r="K58" s="53"/>
      <c r="L58" s="53">
        <f t="shared" si="10"/>
        <v>0</v>
      </c>
      <c r="M58" s="64"/>
      <c r="N58" s="53"/>
      <c r="O58" s="53">
        <f t="shared" si="11"/>
        <v>0</v>
      </c>
      <c r="P58" s="3"/>
    </row>
    <row r="59" spans="2:16" x14ac:dyDescent="0.25">
      <c r="D59" s="56"/>
      <c r="E59" s="58" t="s">
        <v>89</v>
      </c>
      <c r="F59" s="177">
        <f>SUM(F46:F58)</f>
        <v>6248</v>
      </c>
      <c r="G59" s="56"/>
      <c r="H59" s="58" t="s">
        <v>90</v>
      </c>
      <c r="I59" s="175">
        <f>SUM(I46:I58)</f>
        <v>5997</v>
      </c>
      <c r="J59" s="56"/>
      <c r="K59" s="58" t="s">
        <v>90</v>
      </c>
      <c r="L59" s="175">
        <f>SUM(L46:L58)</f>
        <v>187</v>
      </c>
      <c r="M59" s="56"/>
      <c r="N59" s="58" t="s">
        <v>90</v>
      </c>
      <c r="O59" s="175">
        <f>SUM(O46:O58)</f>
        <v>265</v>
      </c>
    </row>
    <row r="60" spans="2:16" x14ac:dyDescent="0.25">
      <c r="B60" s="12" t="s">
        <v>4</v>
      </c>
      <c r="C60" s="11" t="s">
        <v>4</v>
      </c>
      <c r="E60" s="58" t="s">
        <v>91</v>
      </c>
      <c r="F60" s="178">
        <v>103</v>
      </c>
      <c r="H60" s="58" t="s">
        <v>91</v>
      </c>
      <c r="I60" s="178">
        <v>129</v>
      </c>
      <c r="K60" s="58" t="s">
        <v>91</v>
      </c>
      <c r="L60" s="178">
        <v>38</v>
      </c>
      <c r="N60" s="58" t="s">
        <v>91</v>
      </c>
      <c r="O60" s="178">
        <v>38</v>
      </c>
    </row>
  </sheetData>
  <mergeCells count="21">
    <mergeCell ref="P44:P45"/>
    <mergeCell ref="B44:B45"/>
    <mergeCell ref="C44:C45"/>
    <mergeCell ref="D44:F44"/>
    <mergeCell ref="G44:I44"/>
    <mergeCell ref="J44:L44"/>
    <mergeCell ref="M44:O44"/>
    <mergeCell ref="P7:P8"/>
    <mergeCell ref="B25:B26"/>
    <mergeCell ref="C25:C26"/>
    <mergeCell ref="D25:F25"/>
    <mergeCell ref="G25:I25"/>
    <mergeCell ref="J25:L25"/>
    <mergeCell ref="M25:O25"/>
    <mergeCell ref="P25:P26"/>
    <mergeCell ref="B7:B8"/>
    <mergeCell ref="C7:C8"/>
    <mergeCell ref="D7:F7"/>
    <mergeCell ref="G7:I7"/>
    <mergeCell ref="J7:L7"/>
    <mergeCell ref="M7:O7"/>
  </mergeCells>
  <pageMargins left="0.7" right="0.7" top="0.75" bottom="0.75" header="0.3" footer="0.3"/>
  <pageSetup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19E1F-639B-4EFC-A8CE-4711003CFD00}">
  <dimension ref="A1:I18"/>
  <sheetViews>
    <sheetView showGridLines="0" zoomScaleNormal="100" workbookViewId="0">
      <selection activeCell="K28" sqref="K28"/>
    </sheetView>
  </sheetViews>
  <sheetFormatPr defaultColWidth="8.7109375" defaultRowHeight="13.5" x14ac:dyDescent="0.25"/>
  <cols>
    <col min="1" max="1" width="3.140625" style="1" customWidth="1"/>
    <col min="2" max="2" width="30.42578125" style="1" customWidth="1"/>
    <col min="3" max="3" width="20.7109375" style="1" customWidth="1"/>
    <col min="4" max="4" width="18.42578125" style="1" customWidth="1"/>
    <col min="5" max="16384" width="8.7109375" style="1"/>
  </cols>
  <sheetData>
    <row r="1" spans="1:9" x14ac:dyDescent="0.25">
      <c r="A1" s="20" t="str">
        <f>Demographics!A1</f>
        <v>EXHIBIT C:  CURRENT SITE DATA</v>
      </c>
    </row>
    <row r="2" spans="1:9" x14ac:dyDescent="0.25">
      <c r="A2" s="2" t="str">
        <f>Demographics!A2</f>
        <v>North Carolina Agricultural &amp; Technical State University (N.C. A&amp;T)</v>
      </c>
      <c r="G2" s="22"/>
      <c r="H2" s="22"/>
    </row>
    <row r="3" spans="1:9" x14ac:dyDescent="0.25">
      <c r="A3" s="21" t="s">
        <v>100</v>
      </c>
      <c r="B3" s="22"/>
    </row>
    <row r="4" spans="1:9" x14ac:dyDescent="0.25">
      <c r="A4" s="21"/>
      <c r="B4" s="22"/>
    </row>
    <row r="5" spans="1:9" x14ac:dyDescent="0.25">
      <c r="B5" s="57" t="s">
        <v>4</v>
      </c>
    </row>
    <row r="6" spans="1:9" x14ac:dyDescent="0.25">
      <c r="B6" s="100" t="s">
        <v>101</v>
      </c>
      <c r="C6" s="101"/>
      <c r="D6" s="102"/>
    </row>
    <row r="7" spans="1:9" x14ac:dyDescent="0.25">
      <c r="B7" s="103"/>
      <c r="C7" s="12" t="s">
        <v>102</v>
      </c>
      <c r="D7" s="139" t="s">
        <v>103</v>
      </c>
      <c r="E7" s="23"/>
    </row>
    <row r="8" spans="1:9" x14ac:dyDescent="0.25">
      <c r="B8" s="103"/>
      <c r="C8" s="12" t="s">
        <v>104</v>
      </c>
      <c r="D8" s="139" t="s">
        <v>105</v>
      </c>
      <c r="I8" s="9"/>
    </row>
    <row r="9" spans="1:9" x14ac:dyDescent="0.25">
      <c r="B9" s="103"/>
      <c r="C9" s="12" t="s">
        <v>106</v>
      </c>
      <c r="D9" s="140">
        <v>48791</v>
      </c>
    </row>
    <row r="10" spans="1:9" x14ac:dyDescent="0.25">
      <c r="B10" s="104"/>
      <c r="C10" s="12" t="s">
        <v>107</v>
      </c>
      <c r="D10" s="141" t="s">
        <v>108</v>
      </c>
    </row>
    <row r="11" spans="1:9" ht="15" customHeight="1" x14ac:dyDescent="0.25">
      <c r="B11" s="214" t="s">
        <v>109</v>
      </c>
      <c r="C11" s="215"/>
      <c r="D11" s="141" t="s">
        <v>110</v>
      </c>
    </row>
    <row r="12" spans="1:9" x14ac:dyDescent="0.25">
      <c r="B12" s="104"/>
      <c r="C12" s="117" t="s">
        <v>111</v>
      </c>
      <c r="D12" s="141" t="s">
        <v>13</v>
      </c>
    </row>
    <row r="13" spans="1:9" x14ac:dyDescent="0.25">
      <c r="B13" s="107"/>
      <c r="C13" s="108"/>
      <c r="D13" s="109"/>
    </row>
    <row r="14" spans="1:9" x14ac:dyDescent="0.25">
      <c r="B14" s="105" t="s">
        <v>112</v>
      </c>
      <c r="C14" s="24"/>
      <c r="D14" s="106"/>
    </row>
    <row r="15" spans="1:9" x14ac:dyDescent="0.25">
      <c r="B15" s="216" t="s">
        <v>113</v>
      </c>
      <c r="C15" s="217"/>
      <c r="D15" s="218"/>
    </row>
    <row r="18" spans="2:2" x14ac:dyDescent="0.25">
      <c r="B18" s="22"/>
    </row>
  </sheetData>
  <mergeCells count="2">
    <mergeCell ref="B11:C11"/>
    <mergeCell ref="B15:D1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E7EF7-2D5A-4A15-986A-249CE24ED5A5}">
  <dimension ref="A1:L29"/>
  <sheetViews>
    <sheetView showGridLines="0" tabSelected="1" topLeftCell="A4" workbookViewId="0">
      <selection activeCell="W21" sqref="W21"/>
    </sheetView>
  </sheetViews>
  <sheetFormatPr defaultColWidth="8.7109375" defaultRowHeight="13.5" x14ac:dyDescent="0.25"/>
  <cols>
    <col min="1" max="1" width="34.42578125" style="1" customWidth="1"/>
    <col min="2" max="2" width="15.5703125" style="1" customWidth="1"/>
    <col min="3" max="3" width="13.42578125" style="1" bestFit="1" customWidth="1"/>
    <col min="4" max="5" width="15" style="1" bestFit="1" customWidth="1"/>
    <col min="6" max="6" width="1.140625" style="1" customWidth="1"/>
    <col min="7" max="8" width="13.42578125" style="1" bestFit="1" customWidth="1"/>
    <col min="9" max="9" width="13.7109375" style="1" customWidth="1"/>
    <col min="10" max="10" width="15" style="1" bestFit="1" customWidth="1"/>
    <col min="11" max="11" width="1.140625" style="1" customWidth="1"/>
    <col min="12" max="12" width="11.7109375" style="1" customWidth="1"/>
    <col min="13" max="16384" width="8.7109375" style="1"/>
  </cols>
  <sheetData>
    <row r="1" spans="1:12" x14ac:dyDescent="0.25">
      <c r="A1" s="20" t="str">
        <f>Demographics!A1</f>
        <v>EXHIBIT C:  CURRENT SITE DATA</v>
      </c>
    </row>
    <row r="2" spans="1:12" x14ac:dyDescent="0.25">
      <c r="A2" s="2" t="str">
        <f>Demographics!A2</f>
        <v>North Carolina Agricultural &amp; Technical State University (N.C. A&amp;T)</v>
      </c>
    </row>
    <row r="3" spans="1:12" x14ac:dyDescent="0.25">
      <c r="A3" s="2" t="s">
        <v>114</v>
      </c>
    </row>
    <row r="6" spans="1:12" x14ac:dyDescent="0.25">
      <c r="A6" s="2"/>
      <c r="B6" s="219" t="s">
        <v>115</v>
      </c>
      <c r="C6" s="219"/>
      <c r="D6" s="219"/>
      <c r="E6" s="220"/>
      <c r="F6" s="25"/>
      <c r="G6" s="219" t="s">
        <v>116</v>
      </c>
      <c r="H6" s="219"/>
      <c r="I6" s="219"/>
      <c r="J6" s="220"/>
      <c r="K6" s="2"/>
      <c r="L6" s="2"/>
    </row>
    <row r="7" spans="1:12" ht="68.650000000000006" customHeight="1" x14ac:dyDescent="0.25">
      <c r="A7" s="26" t="s">
        <v>117</v>
      </c>
      <c r="B7" s="90" t="s">
        <v>118</v>
      </c>
      <c r="C7" s="90" t="s">
        <v>119</v>
      </c>
      <c r="D7" s="90" t="s">
        <v>120</v>
      </c>
      <c r="E7" s="90" t="s">
        <v>121</v>
      </c>
      <c r="F7" s="27"/>
      <c r="G7" s="90" t="str">
        <f>B7</f>
        <v>Flex Dollars</v>
      </c>
      <c r="H7" s="90" t="str">
        <f t="shared" ref="H7:I7" si="0">C7</f>
        <v>Dining Dollars</v>
      </c>
      <c r="I7" s="90" t="str">
        <f t="shared" si="0"/>
        <v>Cash &amp; Credit Cards</v>
      </c>
      <c r="J7" s="90" t="s">
        <v>121</v>
      </c>
      <c r="K7" s="28"/>
      <c r="L7" s="90" t="s">
        <v>122</v>
      </c>
    </row>
    <row r="8" spans="1:12" x14ac:dyDescent="0.25">
      <c r="A8" s="86" t="s">
        <v>123</v>
      </c>
      <c r="B8" s="116">
        <v>4728.79</v>
      </c>
      <c r="C8" s="116">
        <v>129160.04</v>
      </c>
      <c r="D8" s="116">
        <v>248215.62</v>
      </c>
      <c r="E8" s="116">
        <f t="shared" ref="E8:E18" si="1">SUM(B8:D8)</f>
        <v>382104.44999999995</v>
      </c>
      <c r="F8" s="4"/>
      <c r="G8" s="116">
        <v>8663.23</v>
      </c>
      <c r="H8" s="116">
        <v>112453.36</v>
      </c>
      <c r="I8" s="116">
        <v>220985.1</v>
      </c>
      <c r="J8" s="116">
        <f t="shared" ref="J8:J18" si="2">SUM(G8:I8)</f>
        <v>342101.69</v>
      </c>
      <c r="K8" s="4"/>
      <c r="L8" s="3">
        <v>327</v>
      </c>
    </row>
    <row r="9" spans="1:12" x14ac:dyDescent="0.25">
      <c r="A9" s="86" t="s">
        <v>124</v>
      </c>
      <c r="B9" s="116">
        <v>7809.32</v>
      </c>
      <c r="C9" s="116">
        <v>78398.11</v>
      </c>
      <c r="D9" s="116">
        <v>21321.52</v>
      </c>
      <c r="E9" s="116">
        <f t="shared" si="1"/>
        <v>107528.95</v>
      </c>
      <c r="F9" s="4"/>
      <c r="G9" s="116">
        <v>5339.24</v>
      </c>
      <c r="H9" s="116">
        <v>40626.550000000003</v>
      </c>
      <c r="I9" s="116">
        <v>12392</v>
      </c>
      <c r="J9" s="116">
        <f t="shared" si="2"/>
        <v>58357.79</v>
      </c>
      <c r="K9" s="4"/>
      <c r="L9" s="3">
        <v>238</v>
      </c>
    </row>
    <row r="10" spans="1:12" x14ac:dyDescent="0.25">
      <c r="A10" s="86" t="s">
        <v>125</v>
      </c>
      <c r="B10" s="116">
        <v>276970.19</v>
      </c>
      <c r="C10" s="116">
        <v>139319.9</v>
      </c>
      <c r="D10" s="116">
        <v>272605.73</v>
      </c>
      <c r="E10" s="116">
        <f t="shared" si="1"/>
        <v>688895.82</v>
      </c>
      <c r="F10" s="4"/>
      <c r="G10" s="116">
        <v>275087.90000000002</v>
      </c>
      <c r="H10" s="116">
        <v>129366.98</v>
      </c>
      <c r="I10" s="116">
        <v>305669.62</v>
      </c>
      <c r="J10" s="116">
        <f t="shared" si="2"/>
        <v>710124.5</v>
      </c>
      <c r="K10" s="4"/>
      <c r="L10" s="3">
        <v>210</v>
      </c>
    </row>
    <row r="11" spans="1:12" x14ac:dyDescent="0.25">
      <c r="A11" s="86" t="s">
        <v>126</v>
      </c>
      <c r="B11" s="116">
        <f>442005.04+407802.43</f>
        <v>849807.47</v>
      </c>
      <c r="C11" s="116">
        <f>327626.09+273306.67</f>
        <v>600932.76</v>
      </c>
      <c r="D11" s="116">
        <v>295038.46999999997</v>
      </c>
      <c r="E11" s="116">
        <f t="shared" si="1"/>
        <v>1745778.7</v>
      </c>
      <c r="F11" s="4"/>
      <c r="G11" s="116">
        <f>151581.41+632880.78</f>
        <v>784462.19000000006</v>
      </c>
      <c r="H11" s="116">
        <f>132416.38+230000</f>
        <v>362416.38</v>
      </c>
      <c r="I11" s="116">
        <v>7767.74</v>
      </c>
      <c r="J11" s="116">
        <f t="shared" si="2"/>
        <v>1154646.31</v>
      </c>
      <c r="K11" s="4"/>
      <c r="L11" s="3">
        <v>210</v>
      </c>
    </row>
    <row r="12" spans="1:12" x14ac:dyDescent="0.25">
      <c r="A12" s="86" t="s">
        <v>127</v>
      </c>
      <c r="B12" s="116">
        <v>165400.20000000001</v>
      </c>
      <c r="C12" s="116">
        <v>145000</v>
      </c>
      <c r="D12" s="116">
        <v>4648.22</v>
      </c>
      <c r="E12" s="116">
        <f t="shared" si="1"/>
        <v>315048.42</v>
      </c>
      <c r="F12" s="4"/>
      <c r="G12" s="116">
        <v>115000</v>
      </c>
      <c r="H12" s="116">
        <v>110000</v>
      </c>
      <c r="I12" s="116">
        <v>7480.6</v>
      </c>
      <c r="J12" s="116">
        <f t="shared" si="2"/>
        <v>232480.6</v>
      </c>
      <c r="K12" s="4"/>
      <c r="L12" s="3">
        <v>210</v>
      </c>
    </row>
    <row r="13" spans="1:12" x14ac:dyDescent="0.25">
      <c r="A13" s="86" t="s">
        <v>128</v>
      </c>
      <c r="B13" s="116">
        <v>233253.39</v>
      </c>
      <c r="C13" s="116">
        <v>236581.61</v>
      </c>
      <c r="D13" s="116">
        <v>254878.8</v>
      </c>
      <c r="E13" s="116">
        <f t="shared" si="1"/>
        <v>724713.8</v>
      </c>
      <c r="F13" s="4"/>
      <c r="G13" s="116">
        <v>110459.36</v>
      </c>
      <c r="H13" s="116">
        <v>84944.8</v>
      </c>
      <c r="I13" s="116">
        <v>212848.33</v>
      </c>
      <c r="J13" s="116">
        <f t="shared" si="2"/>
        <v>408252.49</v>
      </c>
      <c r="K13" s="4"/>
      <c r="L13" s="3">
        <v>175</v>
      </c>
    </row>
    <row r="14" spans="1:12" x14ac:dyDescent="0.25">
      <c r="A14" s="86" t="s">
        <v>129</v>
      </c>
      <c r="B14" s="116">
        <v>146765.63</v>
      </c>
      <c r="C14" s="116">
        <v>128671.92</v>
      </c>
      <c r="D14" s="116">
        <v>165212.5</v>
      </c>
      <c r="E14" s="116">
        <f t="shared" si="1"/>
        <v>440650.05</v>
      </c>
      <c r="F14" s="4"/>
      <c r="G14" s="116">
        <v>147195.59</v>
      </c>
      <c r="H14" s="116">
        <v>91583.61</v>
      </c>
      <c r="I14" s="116">
        <v>60032.08</v>
      </c>
      <c r="J14" s="116">
        <f t="shared" si="2"/>
        <v>298811.28000000003</v>
      </c>
      <c r="K14" s="4"/>
      <c r="L14" s="3">
        <v>175</v>
      </c>
    </row>
    <row r="15" spans="1:12" x14ac:dyDescent="0.25">
      <c r="A15" s="86" t="s">
        <v>130</v>
      </c>
      <c r="B15" s="116">
        <v>94359.59</v>
      </c>
      <c r="C15" s="116">
        <v>58103.51</v>
      </c>
      <c r="D15" s="116">
        <v>169529.9</v>
      </c>
      <c r="E15" s="116">
        <f t="shared" si="1"/>
        <v>321993</v>
      </c>
      <c r="F15" s="4"/>
      <c r="G15" s="116">
        <v>89270.8</v>
      </c>
      <c r="H15" s="116">
        <v>56670.61</v>
      </c>
      <c r="I15" s="116">
        <v>282055.99</v>
      </c>
      <c r="J15" s="116">
        <f t="shared" si="2"/>
        <v>427997.4</v>
      </c>
      <c r="K15" s="4"/>
      <c r="L15" s="3">
        <v>210</v>
      </c>
    </row>
    <row r="16" spans="1:12" x14ac:dyDescent="0.25">
      <c r="A16" s="86" t="s">
        <v>131</v>
      </c>
      <c r="B16" s="116">
        <v>162928.24</v>
      </c>
      <c r="C16" s="116">
        <v>224934.6</v>
      </c>
      <c r="D16" s="116">
        <v>150282.4</v>
      </c>
      <c r="E16" s="116">
        <f t="shared" si="1"/>
        <v>538145.24</v>
      </c>
      <c r="F16" s="4"/>
      <c r="G16" s="116">
        <v>96989.05</v>
      </c>
      <c r="H16" s="116">
        <v>113654.77</v>
      </c>
      <c r="I16" s="116">
        <v>86829.65</v>
      </c>
      <c r="J16" s="116">
        <f t="shared" si="2"/>
        <v>297473.46999999997</v>
      </c>
      <c r="K16" s="4"/>
      <c r="L16" s="3">
        <v>210</v>
      </c>
    </row>
    <row r="17" spans="1:12" x14ac:dyDescent="0.25">
      <c r="A17" s="86" t="s">
        <v>132</v>
      </c>
      <c r="B17" s="116">
        <v>27683.05</v>
      </c>
      <c r="C17" s="116">
        <v>42317.83</v>
      </c>
      <c r="D17" s="116">
        <v>50562.7</v>
      </c>
      <c r="E17" s="116">
        <f t="shared" si="1"/>
        <v>120563.58</v>
      </c>
      <c r="F17" s="4"/>
      <c r="G17" s="116">
        <v>32623.08</v>
      </c>
      <c r="H17" s="116">
        <v>34358.33</v>
      </c>
      <c r="I17" s="116">
        <v>73048.94</v>
      </c>
      <c r="J17" s="116">
        <f t="shared" si="2"/>
        <v>140030.35</v>
      </c>
      <c r="K17" s="4"/>
      <c r="L17" s="3">
        <v>210</v>
      </c>
    </row>
    <row r="18" spans="1:12" x14ac:dyDescent="0.25">
      <c r="A18" s="86" t="s">
        <v>133</v>
      </c>
      <c r="B18" s="116">
        <v>230717.21</v>
      </c>
      <c r="C18" s="116">
        <v>174820.25</v>
      </c>
      <c r="D18" s="116">
        <v>164191.79</v>
      </c>
      <c r="E18" s="116">
        <f t="shared" si="1"/>
        <v>569729.25</v>
      </c>
      <c r="F18" s="4"/>
      <c r="G18" s="116">
        <v>217733.75</v>
      </c>
      <c r="H18" s="116">
        <v>142808.74</v>
      </c>
      <c r="I18" s="116">
        <v>165285.46</v>
      </c>
      <c r="J18" s="116">
        <f t="shared" si="2"/>
        <v>525827.94999999995</v>
      </c>
      <c r="K18" s="4"/>
      <c r="L18" s="3">
        <v>210</v>
      </c>
    </row>
    <row r="19" spans="1:12" x14ac:dyDescent="0.25">
      <c r="A19" s="1" t="s">
        <v>4</v>
      </c>
      <c r="D19" s="5" t="s">
        <v>121</v>
      </c>
      <c r="E19" s="179">
        <f>SUM(E8:E18)</f>
        <v>5955151.2599999998</v>
      </c>
      <c r="I19" s="5" t="s">
        <v>121</v>
      </c>
      <c r="J19" s="179">
        <f>SUM(J8:J18)</f>
        <v>4596103.83</v>
      </c>
    </row>
    <row r="21" spans="1:12" x14ac:dyDescent="0.25">
      <c r="A21" s="26" t="s">
        <v>134</v>
      </c>
      <c r="B21" s="36" t="s">
        <v>135</v>
      </c>
      <c r="D21" s="173"/>
      <c r="E21" s="173"/>
    </row>
    <row r="22" spans="1:12" x14ac:dyDescent="0.25">
      <c r="A22" s="3" t="s">
        <v>136</v>
      </c>
      <c r="B22" s="157">
        <v>7.23</v>
      </c>
      <c r="E22" s="173"/>
    </row>
    <row r="23" spans="1:12" x14ac:dyDescent="0.25">
      <c r="A23" s="3" t="s">
        <v>137</v>
      </c>
      <c r="B23" s="157">
        <v>9.66</v>
      </c>
      <c r="E23" s="173"/>
    </row>
    <row r="24" spans="1:12" x14ac:dyDescent="0.25">
      <c r="A24" s="3" t="s">
        <v>138</v>
      </c>
      <c r="B24" s="157">
        <v>9.66</v>
      </c>
    </row>
    <row r="25" spans="1:12" x14ac:dyDescent="0.25">
      <c r="A25" s="3" t="s">
        <v>139</v>
      </c>
      <c r="B25" s="157">
        <v>10.93</v>
      </c>
    </row>
    <row r="26" spans="1:12" x14ac:dyDescent="0.25">
      <c r="A26" s="3" t="s">
        <v>140</v>
      </c>
      <c r="B26" s="157">
        <v>9.66</v>
      </c>
    </row>
    <row r="29" spans="1:12" x14ac:dyDescent="0.25">
      <c r="A29" s="130"/>
    </row>
  </sheetData>
  <mergeCells count="2">
    <mergeCell ref="B6:E6"/>
    <mergeCell ref="G6:J6"/>
  </mergeCells>
  <pageMargins left="0.7" right="0.7" top="0.75" bottom="0.75" header="0.3" footer="0.3"/>
  <pageSetup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875D7-66C2-44FE-82CD-AF851B1204F0}">
  <dimension ref="A1:I39"/>
  <sheetViews>
    <sheetView showGridLines="0" workbookViewId="0">
      <selection activeCell="A2" sqref="A2"/>
    </sheetView>
  </sheetViews>
  <sheetFormatPr defaultColWidth="8.7109375" defaultRowHeight="13.5" x14ac:dyDescent="0.25"/>
  <cols>
    <col min="1" max="1" width="34.28515625" style="1" customWidth="1"/>
    <col min="2" max="2" width="21.5703125" style="1" customWidth="1"/>
    <col min="3" max="5" width="18.140625" style="1" customWidth="1"/>
    <col min="6" max="6" width="1.7109375" style="1" customWidth="1"/>
    <col min="7" max="7" width="14.42578125" style="1" customWidth="1"/>
    <col min="8" max="8" width="17.85546875" style="1" customWidth="1"/>
    <col min="9" max="9" width="16.42578125" style="1" customWidth="1"/>
    <col min="10" max="10" width="8.7109375" style="1" bestFit="1" customWidth="1"/>
    <col min="11" max="16384" width="8.7109375" style="1"/>
  </cols>
  <sheetData>
    <row r="1" spans="1:9" x14ac:dyDescent="0.25">
      <c r="A1" s="20" t="str">
        <f>Demographics!A1</f>
        <v>EXHIBIT C:  CURRENT SITE DATA</v>
      </c>
    </row>
    <row r="2" spans="1:9" x14ac:dyDescent="0.25">
      <c r="A2" s="2" t="str">
        <f>Demographics!A2</f>
        <v>North Carolina Agricultural &amp; Technical State University (N.C. A&amp;T)</v>
      </c>
      <c r="I2" s="9" t="s">
        <v>4</v>
      </c>
    </row>
    <row r="3" spans="1:9" x14ac:dyDescent="0.25">
      <c r="A3" s="2" t="s">
        <v>141</v>
      </c>
    </row>
    <row r="4" spans="1:9" x14ac:dyDescent="0.25">
      <c r="A4" s="2"/>
    </row>
    <row r="5" spans="1:9" x14ac:dyDescent="0.25">
      <c r="A5" s="2"/>
    </row>
    <row r="6" spans="1:9" ht="31.5" customHeight="1" x14ac:dyDescent="0.25">
      <c r="A6" s="29" t="s">
        <v>142</v>
      </c>
      <c r="B6" s="93" t="s">
        <v>143</v>
      </c>
      <c r="C6" s="93" t="s">
        <v>144</v>
      </c>
      <c r="D6" s="93" t="s">
        <v>145</v>
      </c>
      <c r="E6" s="93" t="s">
        <v>146</v>
      </c>
      <c r="G6" s="90" t="s">
        <v>147</v>
      </c>
      <c r="H6" s="90" t="s">
        <v>148</v>
      </c>
      <c r="I6" s="90" t="s">
        <v>149</v>
      </c>
    </row>
    <row r="7" spans="1:9" hidden="1" x14ac:dyDescent="0.25">
      <c r="A7" s="115" t="s">
        <v>150</v>
      </c>
      <c r="B7" s="3"/>
      <c r="C7" s="3"/>
      <c r="D7" s="3"/>
      <c r="E7" s="3"/>
      <c r="G7" s="3"/>
      <c r="H7" s="3"/>
      <c r="I7" s="3"/>
    </row>
    <row r="8" spans="1:9" hidden="1" x14ac:dyDescent="0.25">
      <c r="A8" s="115" t="s">
        <v>151</v>
      </c>
      <c r="B8" s="3"/>
      <c r="C8" s="3"/>
      <c r="D8" s="3"/>
      <c r="E8" s="3"/>
      <c r="G8" s="3"/>
      <c r="H8" s="3"/>
      <c r="I8" s="3"/>
    </row>
    <row r="9" spans="1:9" ht="67.5" x14ac:dyDescent="0.25">
      <c r="A9" s="127" t="s">
        <v>123</v>
      </c>
      <c r="B9" s="94" t="s">
        <v>152</v>
      </c>
      <c r="C9" s="94" t="s">
        <v>153</v>
      </c>
      <c r="D9" s="94" t="s">
        <v>154</v>
      </c>
      <c r="E9" s="94" t="s">
        <v>154</v>
      </c>
      <c r="G9" s="6">
        <v>980</v>
      </c>
      <c r="H9" s="158" t="s">
        <v>155</v>
      </c>
      <c r="I9" s="6">
        <v>2</v>
      </c>
    </row>
    <row r="10" spans="1:9" ht="27" x14ac:dyDescent="0.25">
      <c r="A10" s="127" t="s">
        <v>124</v>
      </c>
      <c r="B10" s="94" t="s">
        <v>156</v>
      </c>
      <c r="C10" s="94" t="s">
        <v>157</v>
      </c>
      <c r="D10" s="6" t="s">
        <v>158</v>
      </c>
      <c r="E10" s="6" t="s">
        <v>158</v>
      </c>
      <c r="G10" s="94" t="s">
        <v>159</v>
      </c>
      <c r="H10" s="158" t="s">
        <v>155</v>
      </c>
      <c r="I10" s="6">
        <v>2</v>
      </c>
    </row>
    <row r="11" spans="1:9" ht="27" x14ac:dyDescent="0.25">
      <c r="A11" s="127" t="s">
        <v>125</v>
      </c>
      <c r="B11" s="6" t="s">
        <v>160</v>
      </c>
      <c r="C11" s="6" t="s">
        <v>160</v>
      </c>
      <c r="D11" s="6" t="s">
        <v>158</v>
      </c>
      <c r="E11" s="6" t="s">
        <v>161</v>
      </c>
      <c r="G11" s="94" t="s">
        <v>162</v>
      </c>
      <c r="H11" s="6" t="s">
        <v>163</v>
      </c>
      <c r="I11" s="6">
        <v>2</v>
      </c>
    </row>
    <row r="12" spans="1:9" x14ac:dyDescent="0.25">
      <c r="A12" s="128" t="s">
        <v>126</v>
      </c>
      <c r="B12" s="129" t="s">
        <v>164</v>
      </c>
      <c r="C12" s="129" t="s">
        <v>164</v>
      </c>
      <c r="D12" s="129" t="s">
        <v>165</v>
      </c>
      <c r="E12" s="129" t="s">
        <v>158</v>
      </c>
      <c r="G12" s="133">
        <v>90</v>
      </c>
      <c r="H12" s="6" t="s">
        <v>163</v>
      </c>
      <c r="I12" s="6">
        <v>4</v>
      </c>
    </row>
    <row r="13" spans="1:9" x14ac:dyDescent="0.25">
      <c r="A13" s="128" t="s">
        <v>127</v>
      </c>
      <c r="B13" s="129" t="s">
        <v>166</v>
      </c>
      <c r="C13" s="129" t="s">
        <v>166</v>
      </c>
      <c r="D13" s="129" t="s">
        <v>165</v>
      </c>
      <c r="E13" s="129" t="s">
        <v>165</v>
      </c>
      <c r="G13" s="6" t="s">
        <v>13</v>
      </c>
      <c r="H13" s="6" t="s">
        <v>163</v>
      </c>
      <c r="I13" s="6">
        <v>2</v>
      </c>
    </row>
    <row r="14" spans="1:9" ht="27" x14ac:dyDescent="0.25">
      <c r="A14" s="127" t="s">
        <v>128</v>
      </c>
      <c r="B14" s="6" t="s">
        <v>167</v>
      </c>
      <c r="C14" s="6" t="s">
        <v>167</v>
      </c>
      <c r="D14" s="6" t="s">
        <v>158</v>
      </c>
      <c r="E14" s="6" t="s">
        <v>158</v>
      </c>
      <c r="G14" s="94" t="s">
        <v>168</v>
      </c>
      <c r="H14" s="158" t="s">
        <v>169</v>
      </c>
      <c r="I14" s="6">
        <v>2</v>
      </c>
    </row>
    <row r="15" spans="1:9" x14ac:dyDescent="0.25">
      <c r="A15" s="128" t="s">
        <v>129</v>
      </c>
      <c r="B15" s="129" t="s">
        <v>170</v>
      </c>
      <c r="C15" s="129" t="s">
        <v>170</v>
      </c>
      <c r="D15" s="6" t="s">
        <v>158</v>
      </c>
      <c r="E15" s="6" t="s">
        <v>158</v>
      </c>
      <c r="G15" s="6">
        <v>20</v>
      </c>
      <c r="H15" s="6" t="s">
        <v>163</v>
      </c>
      <c r="I15" s="6">
        <v>2</v>
      </c>
    </row>
    <row r="16" spans="1:9" x14ac:dyDescent="0.25">
      <c r="A16" s="128" t="s">
        <v>130</v>
      </c>
      <c r="B16" s="129" t="s">
        <v>160</v>
      </c>
      <c r="C16" s="129" t="s">
        <v>160</v>
      </c>
      <c r="D16" s="129" t="s">
        <v>171</v>
      </c>
      <c r="E16" s="6" t="s">
        <v>158</v>
      </c>
      <c r="G16" s="6" t="s">
        <v>13</v>
      </c>
      <c r="H16" s="6" t="s">
        <v>163</v>
      </c>
      <c r="I16" s="6">
        <v>2</v>
      </c>
    </row>
    <row r="17" spans="1:9" x14ac:dyDescent="0.25">
      <c r="A17" s="128" t="s">
        <v>131</v>
      </c>
      <c r="B17" s="129" t="s">
        <v>172</v>
      </c>
      <c r="C17" s="129" t="s">
        <v>172</v>
      </c>
      <c r="D17" s="6" t="s">
        <v>158</v>
      </c>
      <c r="E17" s="6" t="s">
        <v>158</v>
      </c>
      <c r="G17" s="6">
        <v>10</v>
      </c>
      <c r="H17" s="6" t="s">
        <v>163</v>
      </c>
      <c r="I17" s="6">
        <v>1</v>
      </c>
    </row>
    <row r="18" spans="1:9" x14ac:dyDescent="0.25">
      <c r="A18" s="128" t="s">
        <v>132</v>
      </c>
      <c r="B18" s="129" t="s">
        <v>173</v>
      </c>
      <c r="C18" s="129" t="s">
        <v>173</v>
      </c>
      <c r="D18" s="6" t="s">
        <v>158</v>
      </c>
      <c r="E18" s="6" t="s">
        <v>158</v>
      </c>
      <c r="G18" s="6">
        <v>15</v>
      </c>
      <c r="H18" s="6" t="s">
        <v>163</v>
      </c>
      <c r="I18" s="6">
        <v>1</v>
      </c>
    </row>
    <row r="19" spans="1:9" x14ac:dyDescent="0.25">
      <c r="A19" s="128" t="s">
        <v>133</v>
      </c>
      <c r="B19" s="94" t="s">
        <v>166</v>
      </c>
      <c r="C19" s="94" t="s">
        <v>167</v>
      </c>
      <c r="D19" s="6" t="s">
        <v>158</v>
      </c>
      <c r="E19" s="6" t="s">
        <v>158</v>
      </c>
      <c r="G19" s="6">
        <v>30</v>
      </c>
      <c r="H19" s="6" t="s">
        <v>163</v>
      </c>
      <c r="I19" s="6">
        <v>1</v>
      </c>
    </row>
    <row r="20" spans="1:9" x14ac:dyDescent="0.25">
      <c r="A20" s="128" t="s">
        <v>174</v>
      </c>
      <c r="B20" s="94" t="s">
        <v>175</v>
      </c>
      <c r="C20" s="94" t="s">
        <v>175</v>
      </c>
      <c r="D20" s="6" t="s">
        <v>176</v>
      </c>
      <c r="E20" s="6" t="s">
        <v>176</v>
      </c>
      <c r="G20" s="6" t="s">
        <v>13</v>
      </c>
      <c r="H20" s="6" t="s">
        <v>163</v>
      </c>
      <c r="I20" s="6" t="s">
        <v>177</v>
      </c>
    </row>
    <row r="21" spans="1:9" hidden="1" x14ac:dyDescent="0.25">
      <c r="A21" s="118" t="s">
        <v>178</v>
      </c>
      <c r="B21" s="3"/>
      <c r="C21" s="3"/>
      <c r="D21" s="3"/>
      <c r="E21" s="3"/>
      <c r="G21" s="3"/>
      <c r="H21" s="3"/>
      <c r="I21" s="3"/>
    </row>
    <row r="22" spans="1:9" hidden="1" x14ac:dyDescent="0.25">
      <c r="A22" s="115" t="s">
        <v>179</v>
      </c>
      <c r="B22" s="3"/>
      <c r="C22" s="3"/>
      <c r="D22" s="3"/>
      <c r="E22" s="3"/>
      <c r="G22" s="3"/>
      <c r="H22" s="3"/>
      <c r="I22" s="68"/>
    </row>
    <row r="24" spans="1:9" ht="31.5" hidden="1" customHeight="1" x14ac:dyDescent="0.25">
      <c r="A24" s="26" t="s">
        <v>180</v>
      </c>
      <c r="B24" s="93" t="s">
        <v>143</v>
      </c>
      <c r="C24" s="93" t="s">
        <v>144</v>
      </c>
      <c r="D24" s="93" t="s">
        <v>145</v>
      </c>
      <c r="E24" s="93" t="s">
        <v>146</v>
      </c>
    </row>
    <row r="25" spans="1:9" hidden="1" x14ac:dyDescent="0.25">
      <c r="A25" s="115" t="s">
        <v>150</v>
      </c>
      <c r="B25" s="3"/>
      <c r="C25" s="3"/>
      <c r="D25" s="3"/>
      <c r="E25" s="3"/>
    </row>
    <row r="26" spans="1:9" hidden="1" x14ac:dyDescent="0.25">
      <c r="A26" s="115" t="s">
        <v>151</v>
      </c>
      <c r="B26" s="3"/>
      <c r="C26" s="3"/>
      <c r="D26" s="3"/>
      <c r="E26" s="3"/>
    </row>
    <row r="27" spans="1:9" hidden="1" x14ac:dyDescent="0.25">
      <c r="A27" s="115" t="s">
        <v>181</v>
      </c>
      <c r="B27" s="3"/>
      <c r="C27" s="3"/>
      <c r="D27" s="3"/>
      <c r="E27" s="3"/>
    </row>
    <row r="28" spans="1:9" hidden="1" x14ac:dyDescent="0.25">
      <c r="A28" s="115" t="s">
        <v>182</v>
      </c>
      <c r="B28" s="3"/>
      <c r="C28" s="3"/>
      <c r="D28" s="3"/>
      <c r="E28" s="3"/>
    </row>
    <row r="29" spans="1:9" hidden="1" x14ac:dyDescent="0.25">
      <c r="A29" s="115" t="s">
        <v>183</v>
      </c>
      <c r="B29" s="3"/>
      <c r="C29" s="3"/>
      <c r="D29" s="3"/>
      <c r="E29" s="3"/>
    </row>
    <row r="30" spans="1:9" hidden="1" x14ac:dyDescent="0.25">
      <c r="A30" s="115" t="s">
        <v>184</v>
      </c>
      <c r="B30" s="3"/>
      <c r="C30" s="3"/>
      <c r="D30" s="3"/>
      <c r="E30" s="3"/>
    </row>
    <row r="31" spans="1:9" hidden="1" x14ac:dyDescent="0.25">
      <c r="A31" s="115" t="s">
        <v>185</v>
      </c>
      <c r="B31" s="3"/>
      <c r="C31" s="3"/>
      <c r="D31" s="3"/>
      <c r="E31" s="3"/>
    </row>
    <row r="32" spans="1:9" hidden="1" x14ac:dyDescent="0.25">
      <c r="A32" s="115" t="s">
        <v>186</v>
      </c>
      <c r="B32" s="3"/>
      <c r="C32" s="3"/>
      <c r="D32" s="3"/>
      <c r="E32" s="3"/>
    </row>
    <row r="33" spans="1:5" hidden="1" x14ac:dyDescent="0.25">
      <c r="A33" s="115" t="s">
        <v>187</v>
      </c>
      <c r="B33" s="3"/>
      <c r="C33" s="3"/>
      <c r="D33" s="3"/>
      <c r="E33" s="3"/>
    </row>
    <row r="34" spans="1:5" hidden="1" x14ac:dyDescent="0.25">
      <c r="A34" s="115" t="s">
        <v>188</v>
      </c>
      <c r="B34" s="3"/>
      <c r="C34" s="3"/>
      <c r="D34" s="3"/>
      <c r="E34" s="3"/>
    </row>
    <row r="35" spans="1:5" hidden="1" x14ac:dyDescent="0.25">
      <c r="A35" s="115" t="s">
        <v>189</v>
      </c>
      <c r="B35" s="3"/>
      <c r="C35" s="3"/>
      <c r="D35" s="3"/>
      <c r="E35" s="3"/>
    </row>
    <row r="36" spans="1:5" hidden="1" x14ac:dyDescent="0.25">
      <c r="A36" s="115" t="s">
        <v>190</v>
      </c>
      <c r="B36" s="3"/>
      <c r="C36" s="3"/>
      <c r="D36" s="3"/>
      <c r="E36" s="3"/>
    </row>
    <row r="37" spans="1:5" hidden="1" x14ac:dyDescent="0.25">
      <c r="A37" s="115" t="s">
        <v>191</v>
      </c>
      <c r="B37" s="59"/>
      <c r="C37" s="59"/>
      <c r="D37" s="59"/>
      <c r="E37" s="59"/>
    </row>
    <row r="38" spans="1:5" hidden="1" x14ac:dyDescent="0.25">
      <c r="A38" s="115" t="s">
        <v>178</v>
      </c>
      <c r="B38" s="59"/>
      <c r="C38" s="59"/>
      <c r="D38" s="59"/>
      <c r="E38" s="59"/>
    </row>
    <row r="39" spans="1:5" hidden="1" x14ac:dyDescent="0.25">
      <c r="A39" s="115" t="s">
        <v>179</v>
      </c>
      <c r="B39" s="59"/>
      <c r="C39" s="59"/>
      <c r="D39" s="59"/>
      <c r="E39" s="59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33CFF-75D1-45B1-8C5F-415AD75492A0}">
  <dimension ref="A1:S58"/>
  <sheetViews>
    <sheetView showGridLines="0" zoomScaleNormal="100" workbookViewId="0">
      <selection activeCell="A2" sqref="A2"/>
    </sheetView>
  </sheetViews>
  <sheetFormatPr defaultColWidth="8.7109375" defaultRowHeight="13.5" x14ac:dyDescent="0.25"/>
  <cols>
    <col min="1" max="1" width="2.140625" style="1" customWidth="1"/>
    <col min="2" max="2" width="61" style="1" customWidth="1"/>
    <col min="3" max="10" width="13" style="1" customWidth="1"/>
    <col min="11" max="12" width="10.7109375" style="1" customWidth="1"/>
    <col min="13" max="16" width="8.42578125" style="1" customWidth="1"/>
    <col min="17" max="16384" width="8.7109375" style="1"/>
  </cols>
  <sheetData>
    <row r="1" spans="1:12" x14ac:dyDescent="0.25">
      <c r="A1" s="20" t="str">
        <f>Demographics!A1</f>
        <v>EXHIBIT C:  CURRENT SITE DATA</v>
      </c>
    </row>
    <row r="2" spans="1:12" x14ac:dyDescent="0.25">
      <c r="A2" s="2" t="str">
        <f>Demographics!A2</f>
        <v>North Carolina Agricultural &amp; Technical State University (N.C. A&amp;T)</v>
      </c>
    </row>
    <row r="3" spans="1:12" x14ac:dyDescent="0.25">
      <c r="A3" s="21" t="s">
        <v>192</v>
      </c>
      <c r="C3" s="223" t="s">
        <v>4</v>
      </c>
      <c r="D3" s="223"/>
      <c r="E3" s="61"/>
      <c r="F3" s="61"/>
    </row>
    <row r="4" spans="1:12" x14ac:dyDescent="0.25">
      <c r="C4" s="61"/>
      <c r="D4" s="61"/>
      <c r="E4" s="61"/>
      <c r="F4" s="61"/>
    </row>
    <row r="5" spans="1:12" x14ac:dyDescent="0.25">
      <c r="C5" s="61"/>
      <c r="D5" s="61"/>
      <c r="E5" s="61"/>
      <c r="F5" s="61"/>
    </row>
    <row r="6" spans="1:12" ht="42" customHeight="1" x14ac:dyDescent="0.25">
      <c r="C6" s="192" t="s">
        <v>193</v>
      </c>
      <c r="D6" s="192"/>
      <c r="E6" s="192"/>
      <c r="F6" s="192"/>
      <c r="G6" s="192"/>
      <c r="H6" s="192"/>
      <c r="I6" s="192"/>
      <c r="J6" s="224" t="s">
        <v>4</v>
      </c>
      <c r="K6" s="224"/>
      <c r="L6" s="224"/>
    </row>
    <row r="7" spans="1:12" ht="67.5" x14ac:dyDescent="0.25">
      <c r="B7" s="110" t="s">
        <v>194</v>
      </c>
      <c r="C7" s="165" t="s">
        <v>195</v>
      </c>
      <c r="D7" s="165" t="s">
        <v>196</v>
      </c>
      <c r="E7" s="165" t="s">
        <v>197</v>
      </c>
      <c r="F7" s="165" t="s">
        <v>198</v>
      </c>
      <c r="G7" s="165" t="s">
        <v>199</v>
      </c>
      <c r="H7" s="165" t="s">
        <v>200</v>
      </c>
      <c r="I7" s="165" t="s">
        <v>201</v>
      </c>
      <c r="J7" s="92" t="s">
        <v>4</v>
      </c>
      <c r="K7" s="92" t="s">
        <v>4</v>
      </c>
      <c r="L7" s="92" t="s">
        <v>4</v>
      </c>
    </row>
    <row r="8" spans="1:12" x14ac:dyDescent="0.25">
      <c r="B8" s="111" t="s">
        <v>202</v>
      </c>
      <c r="C8" s="148">
        <v>15</v>
      </c>
      <c r="D8" s="148">
        <v>15</v>
      </c>
      <c r="E8" s="148">
        <v>15</v>
      </c>
      <c r="F8" s="148">
        <v>0</v>
      </c>
      <c r="G8" s="148" t="s">
        <v>203</v>
      </c>
      <c r="H8" s="148" t="s">
        <v>203</v>
      </c>
      <c r="I8" s="148" t="s">
        <v>204</v>
      </c>
      <c r="J8" s="61"/>
      <c r="K8" s="61"/>
      <c r="L8" s="61"/>
    </row>
    <row r="9" spans="1:12" x14ac:dyDescent="0.25">
      <c r="B9" s="111" t="s">
        <v>205</v>
      </c>
      <c r="C9" s="148">
        <v>166</v>
      </c>
      <c r="D9" s="148">
        <v>151</v>
      </c>
      <c r="E9" s="148">
        <v>20</v>
      </c>
      <c r="F9" s="148">
        <v>146</v>
      </c>
      <c r="G9" s="148" t="s">
        <v>203</v>
      </c>
      <c r="H9" s="148" t="s">
        <v>203</v>
      </c>
      <c r="I9" s="148" t="s">
        <v>204</v>
      </c>
      <c r="J9" s="61"/>
      <c r="K9" s="61"/>
      <c r="L9" s="61"/>
    </row>
    <row r="10" spans="1:12" x14ac:dyDescent="0.25">
      <c r="B10" s="111" t="s">
        <v>206</v>
      </c>
      <c r="C10" s="148">
        <v>105</v>
      </c>
      <c r="D10" s="148">
        <v>57</v>
      </c>
      <c r="E10" s="148">
        <v>7</v>
      </c>
      <c r="F10" s="148">
        <v>98</v>
      </c>
      <c r="G10" s="148" t="s">
        <v>204</v>
      </c>
      <c r="H10" s="148" t="s">
        <v>204</v>
      </c>
      <c r="I10" s="148" t="s">
        <v>204</v>
      </c>
      <c r="J10" s="61"/>
      <c r="K10" s="61"/>
      <c r="L10" s="61"/>
    </row>
    <row r="11" spans="1:12" x14ac:dyDescent="0.25">
      <c r="B11" s="112" t="s">
        <v>207</v>
      </c>
      <c r="C11" s="148">
        <v>63</v>
      </c>
      <c r="D11" s="148">
        <v>29</v>
      </c>
      <c r="E11" s="148">
        <v>0</v>
      </c>
      <c r="F11" s="148">
        <v>63</v>
      </c>
      <c r="G11" s="148" t="s">
        <v>204</v>
      </c>
      <c r="H11" s="148" t="s">
        <v>204</v>
      </c>
      <c r="I11" s="148" t="s">
        <v>204</v>
      </c>
      <c r="J11" s="61"/>
      <c r="K11" s="61"/>
      <c r="L11" s="61"/>
    </row>
    <row r="12" spans="1:12" x14ac:dyDescent="0.25">
      <c r="B12" s="112"/>
      <c r="C12" s="148"/>
      <c r="D12" s="148"/>
      <c r="E12" s="148"/>
      <c r="F12" s="148"/>
      <c r="G12" s="148"/>
      <c r="H12" s="148"/>
      <c r="I12" s="148"/>
      <c r="J12" s="61"/>
      <c r="K12" s="61"/>
      <c r="L12" s="61"/>
    </row>
    <row r="13" spans="1:12" ht="13.5" customHeight="1" x14ac:dyDescent="0.25">
      <c r="B13" s="180" t="s">
        <v>208</v>
      </c>
      <c r="C13" s="149"/>
      <c r="D13" s="149"/>
      <c r="E13" s="149"/>
      <c r="F13" s="149"/>
      <c r="G13" s="149"/>
      <c r="H13" s="149"/>
      <c r="I13" s="149"/>
      <c r="J13" s="62"/>
      <c r="K13" s="62"/>
      <c r="L13" s="62"/>
    </row>
    <row r="14" spans="1:12" ht="15.75" customHeight="1" x14ac:dyDescent="0.25">
      <c r="B14" s="112" t="s">
        <v>209</v>
      </c>
      <c r="C14" s="225">
        <v>30</v>
      </c>
      <c r="D14" s="225"/>
      <c r="E14" s="225"/>
      <c r="F14" s="225"/>
      <c r="G14" s="225"/>
      <c r="H14" s="225"/>
      <c r="I14" s="225"/>
    </row>
    <row r="15" spans="1:12" x14ac:dyDescent="0.25">
      <c r="B15" s="112" t="s">
        <v>210</v>
      </c>
      <c r="C15" s="225" t="s">
        <v>211</v>
      </c>
      <c r="D15" s="225"/>
      <c r="E15" s="225"/>
      <c r="F15" s="225"/>
      <c r="G15" s="225"/>
      <c r="H15" s="225"/>
      <c r="I15" s="225"/>
    </row>
    <row r="16" spans="1:12" x14ac:dyDescent="0.25">
      <c r="B16" s="12"/>
      <c r="C16" s="91"/>
      <c r="D16" s="91"/>
      <c r="E16" s="91"/>
      <c r="F16" s="91"/>
      <c r="G16" s="91"/>
      <c r="H16" s="91"/>
      <c r="I16" s="91"/>
      <c r="J16" s="91"/>
      <c r="K16" s="91"/>
      <c r="L16" s="91"/>
    </row>
    <row r="17" spans="2:19" x14ac:dyDescent="0.25">
      <c r="B17" s="221" t="s">
        <v>212</v>
      </c>
      <c r="C17" s="221"/>
      <c r="D17" s="221"/>
      <c r="E17" s="221"/>
      <c r="F17" s="221"/>
      <c r="G17" s="221"/>
      <c r="H17" s="192" t="s">
        <v>213</v>
      </c>
      <c r="I17" s="192"/>
      <c r="J17" s="192"/>
    </row>
    <row r="18" spans="2:19" ht="48" customHeight="1" x14ac:dyDescent="0.25">
      <c r="B18" s="110" t="s">
        <v>214</v>
      </c>
      <c r="C18" s="165" t="s">
        <v>195</v>
      </c>
      <c r="D18" s="165" t="s">
        <v>215</v>
      </c>
      <c r="E18" s="165" t="s">
        <v>216</v>
      </c>
      <c r="F18" s="165" t="s">
        <v>217</v>
      </c>
      <c r="G18" s="165" t="s">
        <v>218</v>
      </c>
      <c r="H18" s="96" t="s">
        <v>219</v>
      </c>
      <c r="I18" s="96" t="s">
        <v>220</v>
      </c>
      <c r="J18" s="96" t="s">
        <v>221</v>
      </c>
      <c r="K18" s="60"/>
      <c r="L18" s="60"/>
      <c r="M18" s="60"/>
      <c r="N18" s="60"/>
      <c r="O18" s="60"/>
      <c r="P18" s="60"/>
      <c r="Q18" s="1" t="s">
        <v>4</v>
      </c>
      <c r="R18" s="1" t="s">
        <v>4</v>
      </c>
      <c r="S18" s="1" t="s">
        <v>4</v>
      </c>
    </row>
    <row r="19" spans="2:19" x14ac:dyDescent="0.25">
      <c r="B19" s="222" t="s">
        <v>222</v>
      </c>
      <c r="C19" s="222"/>
      <c r="D19" s="222"/>
      <c r="E19" s="222"/>
      <c r="F19" s="222"/>
      <c r="G19" s="222"/>
      <c r="H19" s="222"/>
      <c r="I19" s="222"/>
      <c r="J19" s="222"/>
      <c r="K19" s="33"/>
      <c r="L19" s="33"/>
      <c r="M19" s="33"/>
      <c r="N19" s="33"/>
      <c r="O19" s="33"/>
      <c r="P19" s="33"/>
    </row>
    <row r="20" spans="2:19" x14ac:dyDescent="0.25">
      <c r="B20" s="147" t="s">
        <v>223</v>
      </c>
      <c r="C20" s="150">
        <v>23</v>
      </c>
      <c r="D20" s="150">
        <v>32</v>
      </c>
      <c r="E20" s="150">
        <v>35</v>
      </c>
      <c r="F20" s="159">
        <v>12</v>
      </c>
      <c r="G20" s="159">
        <v>15</v>
      </c>
      <c r="H20" s="150">
        <v>18</v>
      </c>
      <c r="I20" s="151">
        <v>5</v>
      </c>
      <c r="J20" s="181"/>
      <c r="K20" s="33"/>
      <c r="L20" s="33"/>
      <c r="M20" s="33"/>
      <c r="N20" s="33"/>
      <c r="O20" s="33"/>
      <c r="P20" s="33"/>
    </row>
    <row r="21" spans="2:19" x14ac:dyDescent="0.25">
      <c r="B21" s="111" t="s">
        <v>224</v>
      </c>
      <c r="C21" s="150">
        <v>11</v>
      </c>
      <c r="D21" s="150">
        <v>32</v>
      </c>
      <c r="E21" s="150">
        <v>35</v>
      </c>
      <c r="F21" s="159">
        <v>14</v>
      </c>
      <c r="G21" s="159">
        <v>18</v>
      </c>
      <c r="H21" s="150">
        <v>7</v>
      </c>
      <c r="I21" s="151">
        <v>4</v>
      </c>
      <c r="J21" s="151"/>
      <c r="K21" s="33"/>
      <c r="L21" s="33"/>
      <c r="M21" s="33"/>
      <c r="N21" s="33"/>
      <c r="O21" s="33"/>
      <c r="P21" s="33"/>
    </row>
    <row r="22" spans="2:19" x14ac:dyDescent="0.25">
      <c r="B22" s="111" t="s">
        <v>225</v>
      </c>
      <c r="C22" s="150">
        <v>7</v>
      </c>
      <c r="D22" s="150">
        <v>32</v>
      </c>
      <c r="E22" s="150">
        <v>35</v>
      </c>
      <c r="F22" s="159">
        <v>13</v>
      </c>
      <c r="G22" s="159">
        <v>16</v>
      </c>
      <c r="H22" s="150">
        <v>5</v>
      </c>
      <c r="I22" s="151">
        <v>2</v>
      </c>
      <c r="J22" s="151"/>
      <c r="K22" s="33"/>
      <c r="L22" s="33"/>
      <c r="M22" s="33"/>
      <c r="N22" s="33"/>
      <c r="O22" s="33"/>
      <c r="P22" s="33"/>
    </row>
    <row r="23" spans="2:19" x14ac:dyDescent="0.25">
      <c r="B23" s="111" t="s">
        <v>226</v>
      </c>
      <c r="C23" s="150">
        <v>3</v>
      </c>
      <c r="D23" s="150">
        <v>48</v>
      </c>
      <c r="E23" s="150">
        <v>35</v>
      </c>
      <c r="F23" s="159">
        <v>15</v>
      </c>
      <c r="G23" s="159">
        <v>19</v>
      </c>
      <c r="H23" s="150">
        <v>2</v>
      </c>
      <c r="I23" s="151"/>
      <c r="J23" s="151">
        <v>1</v>
      </c>
      <c r="K23" s="33"/>
      <c r="L23" s="33"/>
      <c r="M23" s="33"/>
      <c r="N23" s="33"/>
      <c r="O23" s="33"/>
      <c r="P23" s="33"/>
    </row>
    <row r="24" spans="2:19" x14ac:dyDescent="0.25">
      <c r="B24" s="111" t="s">
        <v>227</v>
      </c>
      <c r="C24" s="150">
        <v>25</v>
      </c>
      <c r="D24" s="150">
        <v>32</v>
      </c>
      <c r="E24" s="150">
        <v>35</v>
      </c>
      <c r="F24" s="159">
        <v>12</v>
      </c>
      <c r="G24" s="159">
        <v>15</v>
      </c>
      <c r="H24" s="150">
        <v>15</v>
      </c>
      <c r="I24" s="151">
        <v>6</v>
      </c>
      <c r="J24" s="151">
        <v>4</v>
      </c>
      <c r="K24" s="33"/>
      <c r="L24" s="33"/>
      <c r="M24" s="33"/>
      <c r="N24" s="33"/>
      <c r="O24" s="33"/>
      <c r="P24" s="33"/>
    </row>
    <row r="25" spans="2:19" x14ac:dyDescent="0.25">
      <c r="B25" s="111" t="s">
        <v>228</v>
      </c>
      <c r="C25" s="150">
        <v>3</v>
      </c>
      <c r="D25" s="150">
        <v>32</v>
      </c>
      <c r="E25" s="150">
        <v>35</v>
      </c>
      <c r="F25" s="159">
        <v>13</v>
      </c>
      <c r="G25" s="159">
        <v>16</v>
      </c>
      <c r="H25" s="150">
        <v>2</v>
      </c>
      <c r="I25" s="151"/>
      <c r="J25" s="151">
        <v>1</v>
      </c>
      <c r="K25" s="33"/>
      <c r="L25" s="33"/>
      <c r="M25" s="33"/>
      <c r="N25" s="33"/>
      <c r="O25" s="33"/>
      <c r="P25" s="33"/>
    </row>
    <row r="26" spans="2:19" x14ac:dyDescent="0.25">
      <c r="B26" s="111" t="s">
        <v>229</v>
      </c>
      <c r="C26" s="150">
        <v>3</v>
      </c>
      <c r="D26" s="150">
        <v>32</v>
      </c>
      <c r="E26" s="150">
        <v>35</v>
      </c>
      <c r="F26" s="159">
        <v>16</v>
      </c>
      <c r="G26" s="159">
        <v>22</v>
      </c>
      <c r="H26" s="150">
        <v>1</v>
      </c>
      <c r="I26" s="151">
        <v>1</v>
      </c>
      <c r="J26" s="151">
        <v>1</v>
      </c>
      <c r="K26" s="33"/>
      <c r="L26" s="33"/>
      <c r="M26" s="33"/>
      <c r="N26" s="33"/>
      <c r="O26" s="33"/>
      <c r="P26" s="33"/>
    </row>
    <row r="27" spans="2:19" x14ac:dyDescent="0.25">
      <c r="B27" s="111" t="s">
        <v>230</v>
      </c>
      <c r="C27" s="150">
        <v>1</v>
      </c>
      <c r="D27" s="150">
        <v>32</v>
      </c>
      <c r="E27" s="150">
        <v>35</v>
      </c>
      <c r="F27" s="159">
        <v>12</v>
      </c>
      <c r="G27" s="159">
        <v>14</v>
      </c>
      <c r="H27" s="150">
        <v>1</v>
      </c>
      <c r="I27" s="151"/>
      <c r="J27" s="151"/>
      <c r="K27" s="33"/>
      <c r="L27" s="33"/>
      <c r="M27" s="33"/>
      <c r="N27" s="33"/>
      <c r="O27" s="33"/>
      <c r="P27" s="33"/>
    </row>
    <row r="28" spans="2:19" x14ac:dyDescent="0.25">
      <c r="B28" s="111" t="s">
        <v>231</v>
      </c>
      <c r="C28" s="150">
        <v>2</v>
      </c>
      <c r="D28" s="150">
        <v>32</v>
      </c>
      <c r="E28" s="150">
        <v>35</v>
      </c>
      <c r="F28" s="159">
        <v>12</v>
      </c>
      <c r="G28" s="159">
        <v>14</v>
      </c>
      <c r="H28" s="150">
        <v>2</v>
      </c>
      <c r="I28" s="151"/>
      <c r="J28" s="151"/>
      <c r="K28" s="33"/>
      <c r="L28" s="33"/>
      <c r="M28" s="33"/>
      <c r="N28" s="33"/>
      <c r="O28" s="33"/>
      <c r="P28" s="33"/>
    </row>
    <row r="29" spans="2:19" x14ac:dyDescent="0.25">
      <c r="B29" s="111" t="s">
        <v>232</v>
      </c>
      <c r="C29" s="150">
        <v>6</v>
      </c>
      <c r="D29" s="150">
        <v>32</v>
      </c>
      <c r="E29" s="150">
        <v>35</v>
      </c>
      <c r="F29" s="159">
        <v>13</v>
      </c>
      <c r="G29" s="159">
        <v>16</v>
      </c>
      <c r="H29" s="150">
        <v>6</v>
      </c>
      <c r="I29" s="151"/>
      <c r="J29" s="151"/>
      <c r="K29" s="33"/>
      <c r="L29" s="33"/>
      <c r="M29" s="33"/>
      <c r="N29" s="33"/>
      <c r="O29" s="33"/>
      <c r="P29" s="33"/>
    </row>
    <row r="30" spans="2:19" x14ac:dyDescent="0.25">
      <c r="B30" s="111" t="s">
        <v>233</v>
      </c>
      <c r="C30" s="150">
        <v>13</v>
      </c>
      <c r="D30" s="150">
        <v>32</v>
      </c>
      <c r="E30" s="150">
        <v>35</v>
      </c>
      <c r="F30" s="159">
        <v>12</v>
      </c>
      <c r="G30" s="159">
        <v>14</v>
      </c>
      <c r="H30" s="150">
        <v>10</v>
      </c>
      <c r="I30" s="151">
        <v>3</v>
      </c>
      <c r="J30" s="151"/>
      <c r="K30" s="33"/>
      <c r="L30" s="33"/>
      <c r="M30" s="33"/>
      <c r="N30" s="33"/>
      <c r="O30" s="33"/>
      <c r="P30" s="33"/>
    </row>
    <row r="31" spans="2:19" x14ac:dyDescent="0.25">
      <c r="B31" s="111" t="s">
        <v>234</v>
      </c>
      <c r="C31" s="150">
        <v>5</v>
      </c>
      <c r="D31" s="150">
        <v>32</v>
      </c>
      <c r="E31" s="150">
        <v>35</v>
      </c>
      <c r="F31" s="159">
        <v>12</v>
      </c>
      <c r="G31" s="159">
        <v>14</v>
      </c>
      <c r="H31" s="150">
        <v>4</v>
      </c>
      <c r="I31" s="151">
        <v>1</v>
      </c>
      <c r="J31" s="151"/>
      <c r="K31" s="33"/>
      <c r="L31" s="33"/>
      <c r="M31" s="33"/>
      <c r="N31" s="33"/>
      <c r="O31" s="33"/>
      <c r="P31" s="33"/>
    </row>
    <row r="32" spans="2:19" x14ac:dyDescent="0.25">
      <c r="B32" s="111" t="s">
        <v>235</v>
      </c>
      <c r="C32" s="150">
        <v>26</v>
      </c>
      <c r="D32" s="150">
        <v>32</v>
      </c>
      <c r="E32" s="150">
        <v>35</v>
      </c>
      <c r="F32" s="159">
        <v>12</v>
      </c>
      <c r="G32" s="159">
        <v>14</v>
      </c>
      <c r="H32" s="150">
        <v>18</v>
      </c>
      <c r="I32" s="151">
        <v>5</v>
      </c>
      <c r="J32" s="151">
        <v>3</v>
      </c>
      <c r="K32" s="33"/>
      <c r="L32" s="33"/>
      <c r="M32" s="33"/>
      <c r="N32" s="33"/>
      <c r="O32" s="33"/>
      <c r="P32" s="33"/>
    </row>
    <row r="33" spans="2:16" x14ac:dyDescent="0.25">
      <c r="B33" s="111" t="s">
        <v>236</v>
      </c>
      <c r="C33" s="150">
        <v>4</v>
      </c>
      <c r="D33" s="150">
        <v>32</v>
      </c>
      <c r="E33" s="150">
        <v>35</v>
      </c>
      <c r="F33" s="159">
        <v>12</v>
      </c>
      <c r="G33" s="159">
        <v>14</v>
      </c>
      <c r="H33" s="150">
        <v>4</v>
      </c>
      <c r="I33" s="151"/>
      <c r="J33" s="151"/>
      <c r="K33" s="33"/>
      <c r="L33" s="33"/>
      <c r="M33" s="33"/>
      <c r="N33" s="33"/>
      <c r="O33" s="33"/>
      <c r="P33" s="33"/>
    </row>
    <row r="34" spans="2:16" x14ac:dyDescent="0.25">
      <c r="B34" s="111" t="s">
        <v>237</v>
      </c>
      <c r="C34" s="150">
        <v>16</v>
      </c>
      <c r="D34" s="150">
        <v>32</v>
      </c>
      <c r="E34" s="150">
        <v>35</v>
      </c>
      <c r="F34" s="159">
        <v>14</v>
      </c>
      <c r="G34" s="159">
        <v>18</v>
      </c>
      <c r="H34" s="150">
        <v>10</v>
      </c>
      <c r="I34" s="151">
        <v>4</v>
      </c>
      <c r="J34" s="151">
        <v>2</v>
      </c>
      <c r="K34" s="33"/>
      <c r="L34" s="33"/>
      <c r="M34" s="33"/>
      <c r="N34" s="33"/>
      <c r="O34" s="33"/>
      <c r="P34" s="33"/>
    </row>
    <row r="35" spans="2:16" x14ac:dyDescent="0.25">
      <c r="B35" s="111" t="s">
        <v>238</v>
      </c>
      <c r="C35" s="150">
        <v>9</v>
      </c>
      <c r="D35" s="150">
        <v>32</v>
      </c>
      <c r="E35" s="150">
        <v>35</v>
      </c>
      <c r="F35" s="159">
        <v>16</v>
      </c>
      <c r="G35" s="159">
        <v>20</v>
      </c>
      <c r="H35" s="150">
        <v>4</v>
      </c>
      <c r="I35" s="151">
        <v>4</v>
      </c>
      <c r="J35" s="151">
        <v>1</v>
      </c>
      <c r="K35" s="33"/>
      <c r="L35" s="33"/>
      <c r="M35" s="33"/>
      <c r="N35" s="33"/>
      <c r="O35" s="33"/>
      <c r="P35" s="33"/>
    </row>
    <row r="36" spans="2:16" x14ac:dyDescent="0.25">
      <c r="B36" s="111" t="s">
        <v>239</v>
      </c>
      <c r="C36" s="150">
        <v>2</v>
      </c>
      <c r="D36" s="150">
        <v>32</v>
      </c>
      <c r="E36" s="150">
        <v>35</v>
      </c>
      <c r="F36" s="159">
        <v>13</v>
      </c>
      <c r="G36" s="159">
        <v>16</v>
      </c>
      <c r="H36" s="150">
        <v>1</v>
      </c>
      <c r="I36" s="151"/>
      <c r="J36" s="151">
        <v>1</v>
      </c>
      <c r="K36" s="33"/>
      <c r="L36" s="33"/>
      <c r="M36" s="33"/>
      <c r="N36" s="33"/>
      <c r="O36" s="33"/>
      <c r="P36" s="33"/>
    </row>
    <row r="37" spans="2:16" x14ac:dyDescent="0.25">
      <c r="B37" s="111" t="s">
        <v>240</v>
      </c>
      <c r="C37" s="150">
        <v>7</v>
      </c>
      <c r="D37" s="150">
        <v>32</v>
      </c>
      <c r="E37" s="150">
        <v>35</v>
      </c>
      <c r="F37" s="159">
        <v>16</v>
      </c>
      <c r="G37" s="159">
        <v>22</v>
      </c>
      <c r="H37" s="150">
        <v>4</v>
      </c>
      <c r="I37" s="151">
        <v>2</v>
      </c>
      <c r="J37" s="151">
        <v>1</v>
      </c>
      <c r="K37" s="33"/>
      <c r="L37" s="33"/>
      <c r="M37" s="33"/>
      <c r="N37" s="33"/>
      <c r="O37" s="33"/>
      <c r="P37" s="33"/>
    </row>
    <row r="38" spans="2:16" x14ac:dyDescent="0.25">
      <c r="B38" s="182" t="s">
        <v>241</v>
      </c>
      <c r="C38" s="113"/>
      <c r="D38" s="113"/>
      <c r="E38" s="113"/>
      <c r="F38" s="160"/>
      <c r="G38" s="160"/>
      <c r="H38" s="113"/>
      <c r="I38" s="113"/>
      <c r="J38" s="113"/>
      <c r="K38" s="33"/>
      <c r="L38" s="33"/>
      <c r="M38" s="33"/>
      <c r="N38" s="33"/>
      <c r="O38" s="33"/>
      <c r="P38" s="33"/>
    </row>
    <row r="39" spans="2:16" x14ac:dyDescent="0.25">
      <c r="B39" s="147" t="s">
        <v>223</v>
      </c>
      <c r="C39" s="150">
        <v>7</v>
      </c>
      <c r="D39" s="150">
        <v>32</v>
      </c>
      <c r="E39" s="150">
        <v>24</v>
      </c>
      <c r="F39" s="159">
        <v>12</v>
      </c>
      <c r="G39" s="159">
        <v>15</v>
      </c>
      <c r="H39" s="150">
        <v>7</v>
      </c>
      <c r="I39" s="151"/>
      <c r="J39" s="151"/>
      <c r="K39" s="33"/>
      <c r="L39" s="33"/>
      <c r="M39" s="33"/>
      <c r="N39" s="33"/>
      <c r="O39" s="33"/>
      <c r="P39" s="33"/>
    </row>
    <row r="40" spans="2:16" x14ac:dyDescent="0.25">
      <c r="B40" s="111" t="s">
        <v>224</v>
      </c>
      <c r="C40" s="150">
        <v>3</v>
      </c>
      <c r="D40" s="150">
        <v>32</v>
      </c>
      <c r="E40" s="150">
        <v>24</v>
      </c>
      <c r="F40" s="159">
        <v>14</v>
      </c>
      <c r="G40" s="159">
        <v>18</v>
      </c>
      <c r="H40" s="150">
        <v>3</v>
      </c>
      <c r="I40" s="151"/>
      <c r="J40" s="151"/>
      <c r="K40" s="33"/>
      <c r="L40" s="33"/>
      <c r="M40" s="33"/>
      <c r="N40" s="33"/>
      <c r="O40" s="33"/>
      <c r="P40" s="33"/>
    </row>
    <row r="41" spans="2:16" x14ac:dyDescent="0.25">
      <c r="B41" s="111" t="s">
        <v>225</v>
      </c>
      <c r="C41" s="150">
        <v>4</v>
      </c>
      <c r="D41" s="150">
        <v>32</v>
      </c>
      <c r="E41" s="150">
        <v>24</v>
      </c>
      <c r="F41" s="159">
        <v>13</v>
      </c>
      <c r="G41" s="159">
        <v>16</v>
      </c>
      <c r="H41" s="150">
        <v>2</v>
      </c>
      <c r="I41" s="151">
        <v>2</v>
      </c>
      <c r="J41" s="151"/>
      <c r="K41" s="33"/>
      <c r="L41" s="33"/>
      <c r="M41" s="33"/>
      <c r="N41" s="33"/>
      <c r="O41" s="33"/>
      <c r="P41" s="33"/>
    </row>
    <row r="42" spans="2:16" x14ac:dyDescent="0.25">
      <c r="B42" s="111" t="s">
        <v>226</v>
      </c>
      <c r="C42" s="150">
        <v>5</v>
      </c>
      <c r="D42" s="150">
        <v>32</v>
      </c>
      <c r="E42" s="150">
        <v>24</v>
      </c>
      <c r="F42" s="159">
        <v>15</v>
      </c>
      <c r="G42" s="159">
        <v>19</v>
      </c>
      <c r="H42" s="150">
        <v>3</v>
      </c>
      <c r="I42" s="151">
        <v>1</v>
      </c>
      <c r="J42" s="151">
        <v>1</v>
      </c>
      <c r="K42" s="33"/>
      <c r="L42" s="33"/>
      <c r="M42" s="33"/>
      <c r="N42" s="33"/>
      <c r="O42" s="33"/>
      <c r="P42" s="33"/>
    </row>
    <row r="43" spans="2:16" x14ac:dyDescent="0.25">
      <c r="B43" s="111" t="s">
        <v>227</v>
      </c>
      <c r="C43" s="150">
        <v>17</v>
      </c>
      <c r="D43" s="150">
        <v>32</v>
      </c>
      <c r="E43" s="150">
        <v>24</v>
      </c>
      <c r="F43" s="159">
        <v>12</v>
      </c>
      <c r="G43" s="159">
        <v>15</v>
      </c>
      <c r="H43" s="150">
        <v>10</v>
      </c>
      <c r="I43" s="151">
        <v>5</v>
      </c>
      <c r="J43" s="151">
        <v>2</v>
      </c>
      <c r="K43" s="33"/>
      <c r="L43" s="33"/>
      <c r="M43" s="33"/>
      <c r="N43" s="33"/>
      <c r="O43" s="33"/>
      <c r="P43" s="33"/>
    </row>
    <row r="44" spans="2:16" x14ac:dyDescent="0.25">
      <c r="B44" s="111" t="s">
        <v>228</v>
      </c>
      <c r="C44" s="150">
        <v>2</v>
      </c>
      <c r="D44" s="150">
        <v>32</v>
      </c>
      <c r="E44" s="150">
        <v>24</v>
      </c>
      <c r="F44" s="159">
        <v>13</v>
      </c>
      <c r="G44" s="159">
        <v>16</v>
      </c>
      <c r="H44" s="150"/>
      <c r="I44" s="151">
        <v>2</v>
      </c>
      <c r="J44" s="151"/>
      <c r="K44" s="33"/>
      <c r="L44" s="33"/>
      <c r="M44" s="33"/>
      <c r="N44" s="33"/>
      <c r="O44" s="33"/>
      <c r="P44" s="33"/>
    </row>
    <row r="45" spans="2:16" x14ac:dyDescent="0.25">
      <c r="B45" s="111" t="s">
        <v>230</v>
      </c>
      <c r="C45" s="150">
        <v>15</v>
      </c>
      <c r="D45" s="150">
        <v>32</v>
      </c>
      <c r="E45" s="150">
        <v>24</v>
      </c>
      <c r="F45" s="159">
        <v>12</v>
      </c>
      <c r="G45" s="159">
        <v>14</v>
      </c>
      <c r="H45" s="150">
        <v>15</v>
      </c>
      <c r="I45" s="151"/>
      <c r="J45" s="151"/>
      <c r="K45" s="33"/>
      <c r="L45" s="33"/>
      <c r="M45" s="33"/>
      <c r="N45" s="33"/>
      <c r="O45" s="33"/>
      <c r="P45" s="33"/>
    </row>
    <row r="46" spans="2:16" x14ac:dyDescent="0.25">
      <c r="B46" s="111" t="s">
        <v>231</v>
      </c>
      <c r="C46" s="150">
        <v>6</v>
      </c>
      <c r="D46" s="150">
        <v>32</v>
      </c>
      <c r="E46" s="150">
        <v>24</v>
      </c>
      <c r="F46" s="159">
        <v>12</v>
      </c>
      <c r="G46" s="159">
        <v>14</v>
      </c>
      <c r="H46" s="150">
        <v>6</v>
      </c>
      <c r="I46" s="151"/>
      <c r="J46" s="151"/>
      <c r="K46" s="33"/>
      <c r="L46" s="33"/>
      <c r="M46" s="33"/>
      <c r="N46" s="33"/>
      <c r="O46" s="33"/>
      <c r="P46" s="33"/>
    </row>
    <row r="47" spans="2:16" x14ac:dyDescent="0.25">
      <c r="B47" s="111" t="s">
        <v>233</v>
      </c>
      <c r="C47" s="150">
        <v>23</v>
      </c>
      <c r="D47" s="150">
        <v>32</v>
      </c>
      <c r="E47" s="150">
        <v>24</v>
      </c>
      <c r="F47" s="159">
        <v>12</v>
      </c>
      <c r="G47" s="159">
        <v>14</v>
      </c>
      <c r="H47" s="150">
        <v>20</v>
      </c>
      <c r="I47" s="151">
        <v>3</v>
      </c>
      <c r="J47" s="151"/>
      <c r="K47" s="33"/>
      <c r="L47" s="33"/>
      <c r="M47" s="33"/>
      <c r="N47" s="33"/>
      <c r="O47" s="33"/>
      <c r="P47" s="33"/>
    </row>
    <row r="48" spans="2:16" x14ac:dyDescent="0.25">
      <c r="B48" s="111" t="s">
        <v>234</v>
      </c>
      <c r="C48" s="150">
        <v>1</v>
      </c>
      <c r="D48" s="150">
        <v>32</v>
      </c>
      <c r="E48" s="150">
        <v>24</v>
      </c>
      <c r="F48" s="159">
        <v>12</v>
      </c>
      <c r="G48" s="159">
        <v>14</v>
      </c>
      <c r="H48" s="150"/>
      <c r="I48" s="151">
        <v>1</v>
      </c>
      <c r="J48" s="151"/>
      <c r="K48" s="33"/>
      <c r="L48" s="33"/>
      <c r="M48" s="33"/>
      <c r="N48" s="33"/>
      <c r="O48" s="33"/>
      <c r="P48" s="33"/>
    </row>
    <row r="49" spans="2:16" x14ac:dyDescent="0.25">
      <c r="B49" s="111" t="s">
        <v>235</v>
      </c>
      <c r="C49" s="150">
        <v>12</v>
      </c>
      <c r="D49" s="150">
        <v>32</v>
      </c>
      <c r="E49" s="150">
        <v>24</v>
      </c>
      <c r="F49" s="159">
        <v>12</v>
      </c>
      <c r="G49" s="159">
        <v>14</v>
      </c>
      <c r="H49" s="150">
        <v>10</v>
      </c>
      <c r="I49" s="151">
        <v>2</v>
      </c>
      <c r="J49" s="151"/>
      <c r="K49" s="33"/>
      <c r="L49" s="33"/>
      <c r="M49" s="33"/>
      <c r="N49" s="33"/>
      <c r="O49" s="33"/>
      <c r="P49" s="33"/>
    </row>
    <row r="50" spans="2:16" x14ac:dyDescent="0.25">
      <c r="B50" s="111" t="s">
        <v>236</v>
      </c>
      <c r="C50" s="150">
        <v>9</v>
      </c>
      <c r="D50" s="150">
        <v>32</v>
      </c>
      <c r="E50" s="150">
        <v>24</v>
      </c>
      <c r="F50" s="159">
        <v>12</v>
      </c>
      <c r="G50" s="159">
        <v>14</v>
      </c>
      <c r="H50" s="150">
        <v>7</v>
      </c>
      <c r="I50" s="151">
        <v>2</v>
      </c>
      <c r="J50" s="151"/>
      <c r="K50" s="33"/>
      <c r="L50" s="33"/>
      <c r="M50" s="33"/>
      <c r="N50" s="33"/>
      <c r="O50" s="33"/>
      <c r="P50" s="33"/>
    </row>
    <row r="51" spans="2:16" x14ac:dyDescent="0.25">
      <c r="B51" s="111" t="s">
        <v>237</v>
      </c>
      <c r="C51" s="150">
        <v>1</v>
      </c>
      <c r="D51" s="150">
        <v>32</v>
      </c>
      <c r="E51" s="150">
        <v>24</v>
      </c>
      <c r="F51" s="159">
        <v>14</v>
      </c>
      <c r="G51" s="159">
        <v>18</v>
      </c>
      <c r="H51" s="150"/>
      <c r="I51" s="151">
        <v>1</v>
      </c>
      <c r="J51" s="151"/>
      <c r="K51" s="33"/>
      <c r="L51" s="33"/>
      <c r="M51" s="33"/>
      <c r="N51" s="33"/>
      <c r="O51" s="33"/>
      <c r="P51" s="33"/>
    </row>
    <row r="52" spans="2:16" x14ac:dyDescent="0.25">
      <c r="B52" s="182" t="s">
        <v>242</v>
      </c>
      <c r="C52" s="152"/>
      <c r="D52" s="152"/>
      <c r="E52" s="152"/>
      <c r="F52" s="161"/>
      <c r="G52" s="161"/>
      <c r="H52" s="152"/>
      <c r="I52" s="152"/>
      <c r="J52" s="152"/>
      <c r="K52" s="33"/>
      <c r="L52" s="33"/>
      <c r="M52" s="33"/>
      <c r="N52" s="33"/>
      <c r="O52" s="33"/>
      <c r="P52" s="33"/>
    </row>
    <row r="53" spans="2:16" x14ac:dyDescent="0.25">
      <c r="B53" s="111" t="s">
        <v>243</v>
      </c>
      <c r="C53" s="150">
        <v>7</v>
      </c>
      <c r="D53" s="150">
        <v>28</v>
      </c>
      <c r="E53" s="150">
        <v>15</v>
      </c>
      <c r="F53" s="159">
        <v>12</v>
      </c>
      <c r="G53" s="159">
        <v>15</v>
      </c>
      <c r="H53" s="150">
        <v>7</v>
      </c>
      <c r="I53" s="151"/>
      <c r="J53" s="151"/>
      <c r="K53" s="33"/>
      <c r="L53" s="33"/>
      <c r="M53" s="33"/>
      <c r="N53" s="33"/>
      <c r="O53" s="33"/>
      <c r="P53" s="33"/>
    </row>
    <row r="54" spans="2:16" x14ac:dyDescent="0.25">
      <c r="B54" s="111" t="s">
        <v>244</v>
      </c>
      <c r="C54" s="150">
        <v>5</v>
      </c>
      <c r="D54" s="150">
        <v>28</v>
      </c>
      <c r="E54" s="150">
        <v>15</v>
      </c>
      <c r="F54" s="159">
        <v>12</v>
      </c>
      <c r="G54" s="159">
        <v>15</v>
      </c>
      <c r="H54" s="150">
        <v>5</v>
      </c>
      <c r="I54" s="151"/>
      <c r="J54" s="151"/>
      <c r="K54" s="33"/>
      <c r="L54" s="33"/>
      <c r="M54" s="33"/>
      <c r="N54" s="33"/>
      <c r="O54" s="33"/>
      <c r="P54" s="33"/>
    </row>
    <row r="55" spans="2:16" x14ac:dyDescent="0.25">
      <c r="B55" s="111" t="s">
        <v>233</v>
      </c>
      <c r="C55" s="150">
        <v>41</v>
      </c>
      <c r="D55" s="150">
        <v>28</v>
      </c>
      <c r="E55" s="150">
        <v>24</v>
      </c>
      <c r="F55" s="159">
        <v>12</v>
      </c>
      <c r="G55" s="159">
        <v>15</v>
      </c>
      <c r="H55" s="150">
        <v>41</v>
      </c>
      <c r="I55" s="151"/>
      <c r="J55" s="151"/>
      <c r="K55" s="33"/>
      <c r="L55" s="33"/>
      <c r="M55" s="33"/>
      <c r="N55" s="33"/>
      <c r="O55" s="33"/>
      <c r="P55" s="33"/>
    </row>
    <row r="56" spans="2:16" x14ac:dyDescent="0.25">
      <c r="B56" s="111" t="s">
        <v>235</v>
      </c>
      <c r="C56" s="150">
        <v>10</v>
      </c>
      <c r="D56" s="150">
        <v>28</v>
      </c>
      <c r="E56" s="150">
        <v>24</v>
      </c>
      <c r="F56" s="159">
        <v>12</v>
      </c>
      <c r="G56" s="159">
        <v>15</v>
      </c>
      <c r="H56" s="150">
        <v>10</v>
      </c>
      <c r="I56" s="151"/>
      <c r="J56" s="151"/>
      <c r="K56" s="33"/>
      <c r="L56" s="33"/>
      <c r="M56" s="33"/>
      <c r="N56" s="33"/>
      <c r="O56" s="33"/>
      <c r="P56" s="33"/>
    </row>
    <row r="57" spans="2:16" x14ac:dyDescent="0.25">
      <c r="B57" s="1" t="s">
        <v>4</v>
      </c>
    </row>
    <row r="58" spans="2:16" x14ac:dyDescent="0.25">
      <c r="B58" s="22" t="s">
        <v>4</v>
      </c>
    </row>
  </sheetData>
  <mergeCells count="8">
    <mergeCell ref="B17:G17"/>
    <mergeCell ref="H17:J17"/>
    <mergeCell ref="B19:J19"/>
    <mergeCell ref="C3:D3"/>
    <mergeCell ref="C6:I6"/>
    <mergeCell ref="J6:L6"/>
    <mergeCell ref="C14:I14"/>
    <mergeCell ref="C15:I15"/>
  </mergeCells>
  <pageMargins left="0.45" right="0.45" top="0.75" bottom="0.75" header="0.3" footer="0.3"/>
  <pageSetup scale="6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33CB9-046C-41BF-B47E-E28E69A73BAC}">
  <dimension ref="A1:G33"/>
  <sheetViews>
    <sheetView showGridLines="0" workbookViewId="0">
      <selection activeCell="C36" sqref="C36"/>
    </sheetView>
  </sheetViews>
  <sheetFormatPr defaultColWidth="9" defaultRowHeight="13.5" x14ac:dyDescent="0.25"/>
  <cols>
    <col min="1" max="1" width="1.7109375" style="13" customWidth="1"/>
    <col min="2" max="2" width="34" style="13" bestFit="1" customWidth="1"/>
    <col min="3" max="3" width="26.28515625" style="7" customWidth="1"/>
    <col min="4" max="4" width="3.7109375" style="13" customWidth="1"/>
    <col min="5" max="5" width="34" style="13" customWidth="1"/>
    <col min="6" max="6" width="30.28515625" style="13" customWidth="1"/>
    <col min="7" max="16384" width="9" style="13"/>
  </cols>
  <sheetData>
    <row r="1" spans="1:7" x14ac:dyDescent="0.25">
      <c r="A1" s="20" t="str">
        <f>Demographics!A1</f>
        <v>EXHIBIT C:  CURRENT SITE DATA</v>
      </c>
    </row>
    <row r="2" spans="1:7" x14ac:dyDescent="0.25">
      <c r="A2" s="2" t="str">
        <f>Demographics!A2</f>
        <v>North Carolina Agricultural &amp; Technical State University (N.C. A&amp;T)</v>
      </c>
      <c r="B2" s="21"/>
    </row>
    <row r="3" spans="1:7" x14ac:dyDescent="0.25">
      <c r="A3" s="31" t="s">
        <v>245</v>
      </c>
      <c r="B3" s="22"/>
    </row>
    <row r="4" spans="1:7" x14ac:dyDescent="0.25">
      <c r="A4" s="31"/>
      <c r="B4" s="22"/>
    </row>
    <row r="5" spans="1:7" ht="14.25" thickBot="1" x14ac:dyDescent="0.3">
      <c r="B5" s="21" t="s">
        <v>246</v>
      </c>
      <c r="D5" s="31"/>
    </row>
    <row r="6" spans="1:7" x14ac:dyDescent="0.25">
      <c r="B6" s="167" t="s">
        <v>247</v>
      </c>
      <c r="C6" s="114" t="s">
        <v>248</v>
      </c>
      <c r="D6" s="119"/>
      <c r="E6" s="30" t="s">
        <v>249</v>
      </c>
      <c r="F6" s="30" t="s">
        <v>250</v>
      </c>
      <c r="G6" s="120"/>
    </row>
    <row r="7" spans="1:7" x14ac:dyDescent="0.25">
      <c r="B7" s="233" t="s">
        <v>251</v>
      </c>
      <c r="C7" s="231">
        <v>58829.29</v>
      </c>
      <c r="D7" s="1"/>
      <c r="E7" s="234" t="s">
        <v>252</v>
      </c>
      <c r="F7" s="240" t="s">
        <v>13</v>
      </c>
    </row>
    <row r="8" spans="1:7" ht="14.65" customHeight="1" x14ac:dyDescent="0.25">
      <c r="B8" s="233"/>
      <c r="C8" s="232"/>
      <c r="D8" s="1"/>
      <c r="E8" s="235"/>
      <c r="F8" s="235"/>
    </row>
    <row r="9" spans="1:7" x14ac:dyDescent="0.25">
      <c r="B9" s="241" t="s">
        <v>253</v>
      </c>
      <c r="C9" s="242">
        <v>118521.18</v>
      </c>
      <c r="D9" s="1"/>
      <c r="E9" s="234" t="s">
        <v>254</v>
      </c>
      <c r="F9" s="168" t="s">
        <v>255</v>
      </c>
    </row>
    <row r="10" spans="1:7" x14ac:dyDescent="0.25">
      <c r="B10" s="228"/>
      <c r="C10" s="242"/>
      <c r="D10" s="1"/>
      <c r="E10" s="235"/>
      <c r="F10" s="163" t="s">
        <v>256</v>
      </c>
    </row>
    <row r="11" spans="1:7" x14ac:dyDescent="0.25">
      <c r="B11" s="227" t="s">
        <v>257</v>
      </c>
      <c r="C11" s="229">
        <v>169157.38</v>
      </c>
      <c r="D11" s="1"/>
      <c r="E11" s="234" t="s">
        <v>258</v>
      </c>
      <c r="F11" s="168" t="s">
        <v>259</v>
      </c>
    </row>
    <row r="12" spans="1:7" ht="14.65" customHeight="1" x14ac:dyDescent="0.25">
      <c r="B12" s="228"/>
      <c r="C12" s="230"/>
      <c r="D12" s="1"/>
      <c r="E12" s="235"/>
      <c r="F12" s="163" t="s">
        <v>260</v>
      </c>
    </row>
    <row r="13" spans="1:7" x14ac:dyDescent="0.25">
      <c r="B13" s="227" t="s">
        <v>261</v>
      </c>
      <c r="C13" s="229">
        <v>183031.64</v>
      </c>
      <c r="D13" s="1"/>
      <c r="E13" s="234" t="s">
        <v>262</v>
      </c>
      <c r="F13" s="234" t="s">
        <v>263</v>
      </c>
    </row>
    <row r="14" spans="1:7" ht="14.65" customHeight="1" x14ac:dyDescent="0.25">
      <c r="B14" s="228"/>
      <c r="C14" s="230"/>
      <c r="D14" s="1"/>
      <c r="E14" s="235"/>
      <c r="F14" s="235"/>
    </row>
    <row r="15" spans="1:7" x14ac:dyDescent="0.25">
      <c r="B15" s="243" t="s">
        <v>264</v>
      </c>
      <c r="C15" s="229">
        <v>187752.58</v>
      </c>
      <c r="D15" s="1"/>
      <c r="E15" s="234" t="s">
        <v>265</v>
      </c>
      <c r="F15" s="234" t="s">
        <v>263</v>
      </c>
    </row>
    <row r="16" spans="1:7" ht="14.65" customHeight="1" x14ac:dyDescent="0.25">
      <c r="B16" s="244"/>
      <c r="C16" s="230"/>
      <c r="D16" s="1"/>
      <c r="E16" s="235"/>
      <c r="F16" s="235"/>
    </row>
    <row r="17" spans="2:6" x14ac:dyDescent="0.25">
      <c r="B17" s="227" t="s">
        <v>266</v>
      </c>
      <c r="C17" s="229">
        <v>80529.990000000005</v>
      </c>
      <c r="D17" s="1"/>
      <c r="E17" s="226"/>
      <c r="F17" s="13" t="s">
        <v>4</v>
      </c>
    </row>
    <row r="18" spans="2:6" ht="14.65" customHeight="1" x14ac:dyDescent="0.25">
      <c r="B18" s="228"/>
      <c r="C18" s="230"/>
      <c r="D18" s="1"/>
      <c r="E18" s="226"/>
      <c r="F18" s="1"/>
    </row>
    <row r="19" spans="2:6" x14ac:dyDescent="0.25">
      <c r="B19" s="227" t="s">
        <v>267</v>
      </c>
      <c r="C19" s="229">
        <v>58997.19</v>
      </c>
      <c r="D19" s="1"/>
      <c r="E19" s="226"/>
      <c r="F19" s="13" t="s">
        <v>4</v>
      </c>
    </row>
    <row r="20" spans="2:6" ht="14.65" customHeight="1" x14ac:dyDescent="0.25">
      <c r="B20" s="228"/>
      <c r="C20" s="230"/>
      <c r="D20" s="1"/>
      <c r="E20" s="226"/>
      <c r="F20" s="1"/>
    </row>
    <row r="21" spans="2:6" x14ac:dyDescent="0.25">
      <c r="B21" s="227" t="s">
        <v>268</v>
      </c>
      <c r="C21" s="229">
        <v>191860.93</v>
      </c>
      <c r="D21" s="1"/>
      <c r="E21" s="226"/>
      <c r="F21" s="13" t="s">
        <v>4</v>
      </c>
    </row>
    <row r="22" spans="2:6" ht="14.65" customHeight="1" x14ac:dyDescent="0.25">
      <c r="B22" s="228"/>
      <c r="C22" s="230"/>
      <c r="D22" s="1"/>
      <c r="E22" s="226"/>
      <c r="F22" s="1"/>
    </row>
    <row r="23" spans="2:6" ht="15" customHeight="1" x14ac:dyDescent="0.25">
      <c r="B23" s="227" t="s">
        <v>269</v>
      </c>
      <c r="C23" s="229">
        <v>108955.64</v>
      </c>
      <c r="D23" s="1"/>
      <c r="E23" s="226"/>
      <c r="F23" s="13" t="s">
        <v>4</v>
      </c>
    </row>
    <row r="24" spans="2:6" ht="15" customHeight="1" x14ac:dyDescent="0.25">
      <c r="B24" s="228"/>
      <c r="C24" s="230"/>
      <c r="D24" s="1"/>
      <c r="E24" s="226"/>
      <c r="F24" s="1"/>
    </row>
    <row r="25" spans="2:6" x14ac:dyDescent="0.25">
      <c r="B25" s="227" t="s">
        <v>270</v>
      </c>
      <c r="C25" s="229">
        <v>252799.06</v>
      </c>
      <c r="D25" s="1"/>
      <c r="E25" s="226"/>
      <c r="F25" s="13" t="s">
        <v>4</v>
      </c>
    </row>
    <row r="26" spans="2:6" ht="14.65" customHeight="1" x14ac:dyDescent="0.25">
      <c r="B26" s="228"/>
      <c r="C26" s="230"/>
      <c r="D26" s="1"/>
      <c r="E26" s="226"/>
      <c r="F26" s="1"/>
    </row>
    <row r="27" spans="2:6" x14ac:dyDescent="0.25">
      <c r="B27" s="227" t="s">
        <v>271</v>
      </c>
      <c r="C27" s="229">
        <v>136330.95000000001</v>
      </c>
      <c r="D27" s="1"/>
      <c r="E27" s="226"/>
      <c r="F27" s="13" t="s">
        <v>4</v>
      </c>
    </row>
    <row r="28" spans="2:6" ht="14.65" customHeight="1" x14ac:dyDescent="0.25">
      <c r="B28" s="236"/>
      <c r="C28" s="230"/>
      <c r="D28" s="1"/>
      <c r="E28" s="226"/>
      <c r="F28" s="1"/>
    </row>
    <row r="29" spans="2:6" x14ac:dyDescent="0.25">
      <c r="B29" s="237" t="s">
        <v>272</v>
      </c>
      <c r="C29" s="229">
        <v>181109.64</v>
      </c>
      <c r="D29" s="1"/>
      <c r="E29" s="226"/>
      <c r="F29" s="13" t="s">
        <v>4</v>
      </c>
    </row>
    <row r="30" spans="2:6" ht="14.65" customHeight="1" thickBot="1" x14ac:dyDescent="0.3">
      <c r="B30" s="238"/>
      <c r="C30" s="239"/>
      <c r="D30" s="1"/>
      <c r="E30" s="226"/>
      <c r="F30" s="1"/>
    </row>
    <row r="31" spans="2:6" ht="14.25" thickBot="1" x14ac:dyDescent="0.3">
      <c r="B31" s="162" t="s">
        <v>273</v>
      </c>
      <c r="C31" s="169">
        <f>SUM(C7:C30)</f>
        <v>1727875.4699999997</v>
      </c>
    </row>
    <row r="32" spans="2:6" x14ac:dyDescent="0.25">
      <c r="C32" s="170"/>
    </row>
    <row r="33" spans="2:2" x14ac:dyDescent="0.25">
      <c r="B33" s="13" t="s">
        <v>274</v>
      </c>
    </row>
  </sheetData>
  <mergeCells count="39">
    <mergeCell ref="F13:F14"/>
    <mergeCell ref="E13:E14"/>
    <mergeCell ref="B13:B14"/>
    <mergeCell ref="C13:C14"/>
    <mergeCell ref="C15:C16"/>
    <mergeCell ref="B15:B16"/>
    <mergeCell ref="E15:E16"/>
    <mergeCell ref="F15:F16"/>
    <mergeCell ref="F7:F8"/>
    <mergeCell ref="E9:E10"/>
    <mergeCell ref="B9:B10"/>
    <mergeCell ref="C9:C10"/>
    <mergeCell ref="B11:B12"/>
    <mergeCell ref="C11:C12"/>
    <mergeCell ref="E11:E12"/>
    <mergeCell ref="E27:E28"/>
    <mergeCell ref="E29:E30"/>
    <mergeCell ref="B27:B28"/>
    <mergeCell ref="B29:B30"/>
    <mergeCell ref="C27:C28"/>
    <mergeCell ref="C29:C30"/>
    <mergeCell ref="E23:E24"/>
    <mergeCell ref="E25:E26"/>
    <mergeCell ref="B23:B24"/>
    <mergeCell ref="B25:B26"/>
    <mergeCell ref="C23:C24"/>
    <mergeCell ref="C25:C26"/>
    <mergeCell ref="E19:E20"/>
    <mergeCell ref="E21:E22"/>
    <mergeCell ref="B19:B20"/>
    <mergeCell ref="B21:B22"/>
    <mergeCell ref="C19:C20"/>
    <mergeCell ref="C21:C22"/>
    <mergeCell ref="E17:E18"/>
    <mergeCell ref="B17:B18"/>
    <mergeCell ref="C17:C18"/>
    <mergeCell ref="C7:C8"/>
    <mergeCell ref="B7:B8"/>
    <mergeCell ref="E7:E8"/>
  </mergeCells>
  <printOptions horizontalCentered="1" verticalCentered="1"/>
  <pageMargins left="0" right="0" top="0" bottom="0" header="0.3" footer="0.3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14E84-1300-4C04-A816-00792778BA4A}">
  <dimension ref="A1:E40"/>
  <sheetViews>
    <sheetView showGridLines="0" workbookViewId="0">
      <selection activeCell="C5" sqref="C5:E5"/>
    </sheetView>
  </sheetViews>
  <sheetFormatPr defaultColWidth="9.140625" defaultRowHeight="13.5" x14ac:dyDescent="0.25"/>
  <cols>
    <col min="1" max="1" width="3.140625" style="13" customWidth="1"/>
    <col min="2" max="2" width="12.7109375" style="13" hidden="1" customWidth="1"/>
    <col min="3" max="3" width="31.42578125" style="13" customWidth="1"/>
    <col min="4" max="4" width="21.140625" style="13" customWidth="1"/>
    <col min="5" max="5" width="23.5703125" style="13" customWidth="1"/>
    <col min="6" max="16384" width="9.140625" style="13"/>
  </cols>
  <sheetData>
    <row r="1" spans="1:5" x14ac:dyDescent="0.25">
      <c r="A1" s="20" t="str">
        <f>Demographics!A1</f>
        <v>EXHIBIT C:  CURRENT SITE DATA</v>
      </c>
      <c r="B1" s="21"/>
    </row>
    <row r="2" spans="1:5" x14ac:dyDescent="0.25">
      <c r="A2" s="2" t="str">
        <f>Demographics!A2</f>
        <v>North Carolina Agricultural &amp; Technical State University (N.C. A&amp;T)</v>
      </c>
      <c r="B2" s="34"/>
    </row>
    <row r="3" spans="1:5" x14ac:dyDescent="0.25">
      <c r="A3" s="31" t="s">
        <v>275</v>
      </c>
    </row>
    <row r="4" spans="1:5" x14ac:dyDescent="0.25">
      <c r="A4" s="31"/>
    </row>
    <row r="5" spans="1:5" x14ac:dyDescent="0.25">
      <c r="C5" s="245" t="s">
        <v>274</v>
      </c>
      <c r="D5" s="245"/>
      <c r="E5" s="245"/>
    </row>
    <row r="6" spans="1:5" x14ac:dyDescent="0.25">
      <c r="C6" s="125" t="s">
        <v>276</v>
      </c>
      <c r="D6" s="110" t="s">
        <v>11</v>
      </c>
      <c r="E6" s="110" t="s">
        <v>8</v>
      </c>
    </row>
    <row r="7" spans="1:5" x14ac:dyDescent="0.25">
      <c r="C7" s="95" t="s">
        <v>277</v>
      </c>
      <c r="D7" s="96" t="s">
        <v>278</v>
      </c>
      <c r="E7" s="96" t="s">
        <v>278</v>
      </c>
    </row>
    <row r="8" spans="1:5" ht="17.25" customHeight="1" x14ac:dyDescent="0.25">
      <c r="C8" s="97" t="s">
        <v>279</v>
      </c>
      <c r="D8" s="135">
        <v>12</v>
      </c>
      <c r="E8" s="136">
        <v>12</v>
      </c>
    </row>
    <row r="9" spans="1:5" ht="17.25" customHeight="1" x14ac:dyDescent="0.25">
      <c r="C9" s="97" t="s">
        <v>280</v>
      </c>
      <c r="D9" s="135"/>
      <c r="E9" s="136">
        <v>5</v>
      </c>
    </row>
    <row r="10" spans="1:5" ht="17.25" customHeight="1" x14ac:dyDescent="0.25">
      <c r="C10" s="97" t="s">
        <v>281</v>
      </c>
      <c r="D10" s="135">
        <v>10</v>
      </c>
      <c r="E10" s="136">
        <v>10</v>
      </c>
    </row>
    <row r="11" spans="1:5" ht="17.25" customHeight="1" x14ac:dyDescent="0.25">
      <c r="C11" s="97" t="s">
        <v>282</v>
      </c>
      <c r="D11" s="135">
        <v>90</v>
      </c>
      <c r="E11" s="136">
        <v>100</v>
      </c>
    </row>
    <row r="12" spans="1:5" ht="17.25" customHeight="1" x14ac:dyDescent="0.25">
      <c r="C12" s="97" t="s">
        <v>283</v>
      </c>
      <c r="D12" s="135">
        <v>33</v>
      </c>
      <c r="E12" s="136">
        <v>35</v>
      </c>
    </row>
    <row r="13" spans="1:5" ht="17.25" customHeight="1" x14ac:dyDescent="0.25">
      <c r="C13" s="97" t="s">
        <v>284</v>
      </c>
      <c r="D13" s="135">
        <v>6</v>
      </c>
      <c r="E13" s="136">
        <v>4</v>
      </c>
    </row>
    <row r="14" spans="1:5" ht="17.25" customHeight="1" x14ac:dyDescent="0.25">
      <c r="C14" s="97" t="s">
        <v>285</v>
      </c>
      <c r="D14" s="135">
        <v>105</v>
      </c>
      <c r="E14" s="136">
        <v>85</v>
      </c>
    </row>
    <row r="15" spans="1:5" ht="17.25" customHeight="1" x14ac:dyDescent="0.25">
      <c r="C15" s="97" t="s">
        <v>286</v>
      </c>
      <c r="D15" s="135"/>
      <c r="E15" s="136">
        <v>14</v>
      </c>
    </row>
    <row r="16" spans="1:5" ht="17.25" customHeight="1" x14ac:dyDescent="0.25">
      <c r="C16" s="97" t="s">
        <v>287</v>
      </c>
      <c r="D16" s="135"/>
      <c r="E16" s="136">
        <v>49</v>
      </c>
    </row>
    <row r="17" spans="3:5" ht="17.25" customHeight="1" x14ac:dyDescent="0.25">
      <c r="C17" s="98" t="s">
        <v>288</v>
      </c>
      <c r="D17" s="137"/>
      <c r="E17" s="136">
        <v>16</v>
      </c>
    </row>
    <row r="18" spans="3:5" ht="17.25" customHeight="1" x14ac:dyDescent="0.25">
      <c r="C18" s="99" t="s">
        <v>289</v>
      </c>
      <c r="D18" s="138">
        <v>30</v>
      </c>
      <c r="E18" s="136">
        <v>25</v>
      </c>
    </row>
    <row r="19" spans="3:5" ht="17.25" customHeight="1" x14ac:dyDescent="0.25">
      <c r="C19" s="99" t="s">
        <v>290</v>
      </c>
      <c r="D19" s="138"/>
      <c r="E19" s="136">
        <v>27</v>
      </c>
    </row>
    <row r="20" spans="3:5" ht="17.25" customHeight="1" x14ac:dyDescent="0.25">
      <c r="C20" s="99" t="s">
        <v>291</v>
      </c>
      <c r="D20" s="138">
        <v>28</v>
      </c>
      <c r="E20" s="136">
        <v>28</v>
      </c>
    </row>
    <row r="21" spans="3:5" x14ac:dyDescent="0.25">
      <c r="C21" s="99" t="s">
        <v>292</v>
      </c>
      <c r="D21" s="138">
        <v>55</v>
      </c>
      <c r="E21" s="136">
        <v>25</v>
      </c>
    </row>
    <row r="22" spans="3:5" x14ac:dyDescent="0.25">
      <c r="C22" s="99" t="s">
        <v>293</v>
      </c>
      <c r="D22" s="138">
        <v>49</v>
      </c>
      <c r="E22" s="136">
        <v>45</v>
      </c>
    </row>
    <row r="23" spans="3:5" x14ac:dyDescent="0.25">
      <c r="C23" s="99" t="s">
        <v>294</v>
      </c>
      <c r="D23" s="138"/>
      <c r="E23" s="136">
        <v>80</v>
      </c>
    </row>
    <row r="24" spans="3:5" x14ac:dyDescent="0.25">
      <c r="C24" s="99" t="s">
        <v>295</v>
      </c>
      <c r="D24" s="138">
        <v>275</v>
      </c>
      <c r="E24" s="136">
        <v>275</v>
      </c>
    </row>
    <row r="25" spans="3:5" x14ac:dyDescent="0.25">
      <c r="C25" s="99" t="s">
        <v>296</v>
      </c>
      <c r="D25" s="138">
        <v>32</v>
      </c>
      <c r="E25" s="136">
        <v>32</v>
      </c>
    </row>
    <row r="26" spans="3:5" x14ac:dyDescent="0.25">
      <c r="C26" s="99" t="s">
        <v>297</v>
      </c>
      <c r="D26" s="138">
        <v>140</v>
      </c>
      <c r="E26" s="136">
        <v>135</v>
      </c>
    </row>
    <row r="27" spans="3:5" x14ac:dyDescent="0.25">
      <c r="C27" s="99" t="s">
        <v>298</v>
      </c>
      <c r="D27" s="138">
        <v>65</v>
      </c>
      <c r="E27" s="136">
        <v>82</v>
      </c>
    </row>
    <row r="28" spans="3:5" x14ac:dyDescent="0.25">
      <c r="C28" s="99" t="s">
        <v>299</v>
      </c>
      <c r="D28" s="138">
        <v>6</v>
      </c>
      <c r="E28" s="136">
        <v>6</v>
      </c>
    </row>
    <row r="29" spans="3:5" x14ac:dyDescent="0.25">
      <c r="C29" s="99" t="s">
        <v>300</v>
      </c>
      <c r="D29" s="138">
        <v>16</v>
      </c>
      <c r="E29" s="136">
        <v>16</v>
      </c>
    </row>
    <row r="30" spans="3:5" x14ac:dyDescent="0.25">
      <c r="C30" s="99" t="s">
        <v>301</v>
      </c>
      <c r="D30" s="138">
        <v>126</v>
      </c>
      <c r="E30" s="136"/>
    </row>
    <row r="31" spans="3:5" x14ac:dyDescent="0.25">
      <c r="C31" s="99" t="s">
        <v>302</v>
      </c>
      <c r="D31" s="138">
        <v>80</v>
      </c>
      <c r="E31" s="136"/>
    </row>
    <row r="32" spans="3:5" x14ac:dyDescent="0.25">
      <c r="C32" s="99" t="s">
        <v>303</v>
      </c>
      <c r="D32" s="138">
        <v>3</v>
      </c>
      <c r="E32" s="136"/>
    </row>
    <row r="33" spans="3:5" x14ac:dyDescent="0.25">
      <c r="C33" s="99" t="s">
        <v>304</v>
      </c>
      <c r="D33" s="138">
        <v>15</v>
      </c>
      <c r="E33" s="136"/>
    </row>
    <row r="34" spans="3:5" x14ac:dyDescent="0.25">
      <c r="C34" s="99" t="s">
        <v>305</v>
      </c>
      <c r="D34" s="138">
        <v>11</v>
      </c>
      <c r="E34" s="136"/>
    </row>
    <row r="35" spans="3:5" x14ac:dyDescent="0.25">
      <c r="C35" s="99" t="s">
        <v>306</v>
      </c>
      <c r="D35" s="138">
        <v>18</v>
      </c>
      <c r="E35" s="136"/>
    </row>
    <row r="36" spans="3:5" x14ac:dyDescent="0.25">
      <c r="C36" s="99" t="s">
        <v>307</v>
      </c>
      <c r="D36" s="138">
        <v>80</v>
      </c>
      <c r="E36" s="136"/>
    </row>
    <row r="37" spans="3:5" x14ac:dyDescent="0.25">
      <c r="C37" s="99" t="s">
        <v>308</v>
      </c>
      <c r="D37" s="138">
        <v>45</v>
      </c>
      <c r="E37" s="136"/>
    </row>
    <row r="38" spans="3:5" x14ac:dyDescent="0.25">
      <c r="C38" s="99" t="s">
        <v>309</v>
      </c>
      <c r="D38" s="138">
        <v>50</v>
      </c>
      <c r="E38" s="136"/>
    </row>
    <row r="39" spans="3:5" x14ac:dyDescent="0.25">
      <c r="C39" s="99" t="s">
        <v>310</v>
      </c>
      <c r="D39" s="138">
        <v>7</v>
      </c>
      <c r="E39" s="136"/>
    </row>
    <row r="40" spans="3:5" x14ac:dyDescent="0.25">
      <c r="E40" s="134"/>
    </row>
  </sheetData>
  <mergeCells count="1">
    <mergeCell ref="C5:E5"/>
  </mergeCells>
  <pageMargins left="0" right="0" top="0.75" bottom="0.75" header="0.3" footer="0.3"/>
  <pageSetup scale="8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B97CC80C9AD54C81FA67AC71162241" ma:contentTypeVersion="19" ma:contentTypeDescription="Create a new document." ma:contentTypeScope="" ma:versionID="158f47d8ba03add8f1f5bf98871b8945">
  <xsd:schema xmlns:xsd="http://www.w3.org/2001/XMLSchema" xmlns:xs="http://www.w3.org/2001/XMLSchema" xmlns:p="http://schemas.microsoft.com/office/2006/metadata/properties" xmlns:ns2="bdca9f29-83e3-40ea-84ca-8e334ef5fad9" xmlns:ns3="307f7930-ce09-4dff-981a-507fc363ac43" targetNamespace="http://schemas.microsoft.com/office/2006/metadata/properties" ma:root="true" ma:fieldsID="5d23a775d19bcd25bb7bb51e4d3a994d" ns2:_="" ns3:_="">
    <xsd:import namespace="bdca9f29-83e3-40ea-84ca-8e334ef5fad9"/>
    <xsd:import namespace="307f7930-ce09-4dff-981a-507fc363ac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PolicyExpiry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ca9f29-83e3-40ea-84ca-8e334ef5fa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PolicyExpiry" ma:index="21" nillable="true" ma:displayName="Policy Expiry" ma:default="2022-01-24T00:00:00Z" ma:format="DateOnly" ma:internalName="PolicyExpiry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df24b3-5c1c-4720-81ab-a4b9141e61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7f7930-ce09-4dff-981a-507fc363ac4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3d0ade4e-afe3-42ad-897e-b12d3829b25e}" ma:internalName="TaxCatchAll" ma:showField="CatchAllData" ma:web="307f7930-ce09-4dff-981a-507fc363ac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07f7930-ce09-4dff-981a-507fc363ac43" xsi:nil="true"/>
    <lcf76f155ced4ddcb4097134ff3c332f xmlns="bdca9f29-83e3-40ea-84ca-8e334ef5fad9">
      <Terms xmlns="http://schemas.microsoft.com/office/infopath/2007/PartnerControls"/>
    </lcf76f155ced4ddcb4097134ff3c332f>
    <PolicyExpiry xmlns="bdca9f29-83e3-40ea-84ca-8e334ef5fad9">2022-01-24T00:00:00+00:00</PolicyExpiry>
  </documentManagement>
</p:properties>
</file>

<file path=customXml/itemProps1.xml><?xml version="1.0" encoding="utf-8"?>
<ds:datastoreItem xmlns:ds="http://schemas.openxmlformats.org/officeDocument/2006/customXml" ds:itemID="{EB65C57E-D77D-4077-8AC1-827B79EBD9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1B22549-3EF5-436E-A047-8D27E69A4E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ca9f29-83e3-40ea-84ca-8e334ef5fad9"/>
    <ds:schemaRef ds:uri="307f7930-ce09-4dff-981a-507fc363ac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685D5D4-0AAE-4DE1-82E6-274B7C717FA6}">
  <ds:schemaRefs>
    <ds:schemaRef ds:uri="http://schemas.microsoft.com/office/2006/metadata/properties"/>
    <ds:schemaRef ds:uri="http://schemas.microsoft.com/office/infopath/2007/PartnerControls"/>
    <ds:schemaRef ds:uri="307f7930-ce09-4dff-981a-507fc363ac43"/>
    <ds:schemaRef ds:uri="bdca9f29-83e3-40ea-84ca-8e334ef5fad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4</vt:i4>
      </vt:variant>
    </vt:vector>
  </HeadingPairs>
  <TitlesOfParts>
    <vt:vector size="20" baseType="lpstr">
      <vt:lpstr>Demographics</vt:lpstr>
      <vt:lpstr>Exclusions</vt:lpstr>
      <vt:lpstr>Meal Plans</vt:lpstr>
      <vt:lpstr>Beverage Contract</vt:lpstr>
      <vt:lpstr>Dining Location Revenue</vt:lpstr>
      <vt:lpstr>Operating Info</vt:lpstr>
      <vt:lpstr>Staffing</vt:lpstr>
      <vt:lpstr>Catering</vt:lpstr>
      <vt:lpstr>Summer Camps</vt:lpstr>
      <vt:lpstr>Sanitation</vt:lpstr>
      <vt:lpstr>Athletics</vt:lpstr>
      <vt:lpstr>Sustainability</vt:lpstr>
      <vt:lpstr>Technology Responsibilities</vt:lpstr>
      <vt:lpstr>Financial Responsibilities</vt:lpstr>
      <vt:lpstr>Historical Costs</vt:lpstr>
      <vt:lpstr>Support</vt:lpstr>
      <vt:lpstr>'Financial Responsibilities'!_Hlk35608814</vt:lpstr>
      <vt:lpstr>'Financial Responsibilities'!_Hlk35608836</vt:lpstr>
      <vt:lpstr>'Meal Plans'!Print_Area</vt:lpstr>
      <vt:lpstr>'Summer Camps'!Print_Area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Martinique C Williams</dc:creator>
  <cp:keywords/>
  <dc:description/>
  <cp:lastModifiedBy>Martinique C Williams</cp:lastModifiedBy>
  <cp:revision/>
  <dcterms:created xsi:type="dcterms:W3CDTF">2012-07-18T14:59:54Z</dcterms:created>
  <dcterms:modified xsi:type="dcterms:W3CDTF">2024-10-21T17:38:06Z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0x01010008335A721F6E1540922D4D36C4CEE0C9</vt:lpwstr>
  </property>
  <property fmtid="{D5CDD505-2E9C-101B-9397-08002B2CF9AE}" pid="3" name="MediaServiceImageTags">
    <vt:lpwstr/>
  </property>
</Properties>
</file>